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/>
  <mc:AlternateContent xmlns:mc="http://schemas.openxmlformats.org/markup-compatibility/2006">
    <mc:Choice Requires="x15">
      <x15ac:absPath xmlns:x15ac="http://schemas.microsoft.com/office/spreadsheetml/2010/11/ac" url="/Users/chuck.sweet/Documents/right and freedom/"/>
    </mc:Choice>
  </mc:AlternateContent>
  <xr:revisionPtr revIDLastSave="0" documentId="8_{D591B3B2-E120-EC42-9F76-74FB2B7431B8}" xr6:coauthVersionLast="47" xr6:coauthVersionMax="47" xr10:uidLastSave="{00000000-0000-0000-0000-000000000000}"/>
  <bookViews>
    <workbookView xWindow="-38400" yWindow="-2440" windowWidth="38400" windowHeight="21600" xr2:uid="{00000000-000D-0000-FFFF-FFFF00000000}"/>
  </bookViews>
  <sheets>
    <sheet name="United States" sheetId="2" r:id="rId1"/>
    <sheet name="Maine" sheetId="25" r:id="rId2"/>
    <sheet name="Maryland" sheetId="26" r:id="rId3"/>
    <sheet name="Michigan" sheetId="27" r:id="rId4"/>
    <sheet name="Minnesota" sheetId="28" r:id="rId5"/>
    <sheet name="Mississippi" sheetId="29" r:id="rId6"/>
    <sheet name="Missouri" sheetId="30" r:id="rId7"/>
    <sheet name="Nebraska" sheetId="31" r:id="rId8"/>
    <sheet name="Nevada" sheetId="32" r:id="rId9"/>
    <sheet name="New Hampshire" sheetId="33" r:id="rId10"/>
    <sheet name="New Mexico" sheetId="34" r:id="rId11"/>
    <sheet name="New York" sheetId="35" r:id="rId12"/>
    <sheet name="North Carolina" sheetId="36" r:id="rId13"/>
    <sheet name="North Dakota" sheetId="37" r:id="rId14"/>
    <sheet name="Ohio" sheetId="38" r:id="rId15"/>
    <sheet name="Oklahoma" sheetId="39" r:id="rId16"/>
    <sheet name="Pennsylvania" sheetId="40" r:id="rId17"/>
    <sheet name="South Carolina" sheetId="41" r:id="rId18"/>
    <sheet name="Utah" sheetId="42" r:id="rId19"/>
    <sheet name="Virginia" sheetId="43" r:id="rId20"/>
    <sheet name="Wisconsin" sheetId="44" r:id="rId21"/>
    <sheet name="Alabama" sheetId="11" r:id="rId22"/>
    <sheet name="Arizona" sheetId="13" r:id="rId23"/>
    <sheet name="California" sheetId="14" r:id="rId24"/>
    <sheet name="Colorado" sheetId="15" r:id="rId25"/>
    <sheet name="Connecticut" sheetId="16" r:id="rId26"/>
    <sheet name="Georgia" sheetId="18" r:id="rId27"/>
    <sheet name="Indiana" sheetId="21" r:id="rId28"/>
    <sheet name="Iowa" sheetId="23" r:id="rId29"/>
    <sheet name="Kentucky" sheetId="24" r:id="rId30"/>
    <sheet name="Tennessee" sheetId="3" r:id="rId31"/>
    <sheet name="New Jersey" sheetId="6" r:id="rId32"/>
    <sheet name="Oregon" sheetId="4" r:id="rId33"/>
    <sheet name="Texas" sheetId="5" r:id="rId34"/>
    <sheet name="West Virginia" sheetId="9" r:id="rId3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" l="1"/>
  <c r="L7" i="2"/>
  <c r="L11" i="2"/>
  <c r="L12" i="2"/>
  <c r="L13" i="2"/>
  <c r="L15" i="2"/>
  <c r="L16" i="2"/>
  <c r="L17" i="2"/>
  <c r="L20" i="2"/>
  <c r="L22" i="2"/>
  <c r="L25" i="2"/>
  <c r="L30" i="2"/>
  <c r="L43" i="2"/>
  <c r="L45" i="2"/>
  <c r="L49" i="2"/>
  <c r="L51" i="2"/>
  <c r="L54" i="2"/>
  <c r="P4" i="44"/>
  <c r="P3" i="44"/>
  <c r="P2" i="44"/>
  <c r="M2" i="44"/>
  <c r="M3" i="44"/>
  <c r="M4" i="44"/>
  <c r="M5" i="44"/>
  <c r="M6" i="44"/>
  <c r="M7" i="44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2" i="44"/>
  <c r="M43" i="44"/>
  <c r="M44" i="44"/>
  <c r="M45" i="44"/>
  <c r="M46" i="44"/>
  <c r="M47" i="44"/>
  <c r="M48" i="44"/>
  <c r="M49" i="44"/>
  <c r="M50" i="44"/>
  <c r="M51" i="44"/>
  <c r="M52" i="44"/>
  <c r="M53" i="44"/>
  <c r="M54" i="44"/>
  <c r="M55" i="44"/>
  <c r="M56" i="44"/>
  <c r="M57" i="44"/>
  <c r="M58" i="44"/>
  <c r="M59" i="44"/>
  <c r="M60" i="44"/>
  <c r="M61" i="44"/>
  <c r="M62" i="44"/>
  <c r="M63" i="44"/>
  <c r="M64" i="44"/>
  <c r="M65" i="44"/>
  <c r="M66" i="44"/>
  <c r="M67" i="44"/>
  <c r="M68" i="44"/>
  <c r="M69" i="44"/>
  <c r="M70" i="44"/>
  <c r="M71" i="44"/>
  <c r="M72" i="44"/>
  <c r="M73" i="44"/>
  <c r="K2" i="44"/>
  <c r="K3" i="44"/>
  <c r="K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H2" i="44"/>
  <c r="H3" i="44"/>
  <c r="H4" i="44"/>
  <c r="H5" i="44"/>
  <c r="H6" i="44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H47" i="44"/>
  <c r="H48" i="44"/>
  <c r="H49" i="44"/>
  <c r="H50" i="44"/>
  <c r="H51" i="44"/>
  <c r="H52" i="44"/>
  <c r="H53" i="44"/>
  <c r="H54" i="44"/>
  <c r="H55" i="44"/>
  <c r="H56" i="44"/>
  <c r="H57" i="44"/>
  <c r="H58" i="44"/>
  <c r="H59" i="44"/>
  <c r="H60" i="44"/>
  <c r="H61" i="44"/>
  <c r="H62" i="44"/>
  <c r="H63" i="44"/>
  <c r="H64" i="44"/>
  <c r="H65" i="44"/>
  <c r="H66" i="44"/>
  <c r="H67" i="44"/>
  <c r="H68" i="44"/>
  <c r="H69" i="44"/>
  <c r="H70" i="44"/>
  <c r="H71" i="44"/>
  <c r="H72" i="44"/>
  <c r="H73" i="44"/>
  <c r="D2" i="44"/>
  <c r="D3" i="44"/>
  <c r="D4" i="44"/>
  <c r="D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R4" i="43"/>
  <c r="R3" i="43"/>
  <c r="R2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52" i="43"/>
  <c r="O53" i="43"/>
  <c r="O54" i="43"/>
  <c r="O55" i="43"/>
  <c r="O56" i="43"/>
  <c r="O57" i="43"/>
  <c r="O58" i="43"/>
  <c r="O59" i="43"/>
  <c r="O60" i="43"/>
  <c r="O61" i="43"/>
  <c r="O62" i="43"/>
  <c r="O63" i="43"/>
  <c r="O64" i="43"/>
  <c r="O65" i="43"/>
  <c r="O66" i="43"/>
  <c r="O67" i="43"/>
  <c r="O68" i="43"/>
  <c r="O69" i="43"/>
  <c r="O70" i="43"/>
  <c r="O71" i="43"/>
  <c r="O72" i="43"/>
  <c r="O73" i="43"/>
  <c r="O74" i="43"/>
  <c r="O75" i="43"/>
  <c r="O76" i="43"/>
  <c r="O77" i="43"/>
  <c r="O78" i="43"/>
  <c r="O79" i="43"/>
  <c r="O80" i="43"/>
  <c r="O81" i="43"/>
  <c r="O82" i="43"/>
  <c r="O83" i="43"/>
  <c r="O84" i="43"/>
  <c r="O85" i="43"/>
  <c r="O86" i="43"/>
  <c r="O87" i="43"/>
  <c r="O88" i="43"/>
  <c r="O89" i="43"/>
  <c r="O90" i="43"/>
  <c r="O91" i="43"/>
  <c r="O92" i="43"/>
  <c r="O93" i="43"/>
  <c r="O94" i="43"/>
  <c r="O95" i="43"/>
  <c r="O96" i="43"/>
  <c r="O97" i="43"/>
  <c r="O98" i="43"/>
  <c r="O99" i="43"/>
  <c r="O100" i="43"/>
  <c r="O101" i="43"/>
  <c r="O102" i="43"/>
  <c r="O103" i="43"/>
  <c r="O104" i="43"/>
  <c r="O105" i="43"/>
  <c r="O106" i="43"/>
  <c r="O107" i="43"/>
  <c r="O108" i="43"/>
  <c r="O109" i="43"/>
  <c r="O110" i="43"/>
  <c r="O111" i="43"/>
  <c r="O112" i="43"/>
  <c r="O113" i="43"/>
  <c r="O114" i="43"/>
  <c r="O115" i="43"/>
  <c r="O116" i="43"/>
  <c r="O117" i="43"/>
  <c r="O118" i="43"/>
  <c r="O119" i="43"/>
  <c r="O120" i="43"/>
  <c r="O121" i="43"/>
  <c r="O122" i="43"/>
  <c r="O123" i="43"/>
  <c r="O124" i="43"/>
  <c r="O125" i="43"/>
  <c r="O126" i="43"/>
  <c r="O127" i="43"/>
  <c r="O128" i="43"/>
  <c r="O129" i="43"/>
  <c r="O130" i="43"/>
  <c r="O131" i="43"/>
  <c r="O132" i="43"/>
  <c r="O133" i="43"/>
  <c r="O134" i="43"/>
  <c r="M2" i="43"/>
  <c r="M3" i="43"/>
  <c r="M4" i="43"/>
  <c r="M5" i="43"/>
  <c r="M6" i="43"/>
  <c r="M7" i="43"/>
  <c r="M8" i="43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M73" i="43"/>
  <c r="M74" i="43"/>
  <c r="M75" i="43"/>
  <c r="M76" i="43"/>
  <c r="M77" i="43"/>
  <c r="M78" i="43"/>
  <c r="M79" i="43"/>
  <c r="M80" i="43"/>
  <c r="M81" i="43"/>
  <c r="M82" i="43"/>
  <c r="M83" i="43"/>
  <c r="M84" i="43"/>
  <c r="M85" i="43"/>
  <c r="M86" i="43"/>
  <c r="M87" i="43"/>
  <c r="M88" i="43"/>
  <c r="M89" i="43"/>
  <c r="M90" i="43"/>
  <c r="M91" i="43"/>
  <c r="M92" i="43"/>
  <c r="M93" i="43"/>
  <c r="M94" i="43"/>
  <c r="M95" i="43"/>
  <c r="M96" i="43"/>
  <c r="M97" i="43"/>
  <c r="M98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111" i="43"/>
  <c r="M112" i="43"/>
  <c r="M113" i="43"/>
  <c r="M114" i="43"/>
  <c r="M115" i="43"/>
  <c r="M116" i="43"/>
  <c r="M117" i="43"/>
  <c r="M118" i="43"/>
  <c r="M119" i="43"/>
  <c r="M120" i="43"/>
  <c r="M121" i="43"/>
  <c r="M122" i="43"/>
  <c r="M123" i="43"/>
  <c r="M124" i="43"/>
  <c r="M125" i="43"/>
  <c r="M126" i="43"/>
  <c r="M127" i="43"/>
  <c r="M128" i="43"/>
  <c r="M129" i="43"/>
  <c r="M130" i="43"/>
  <c r="M131" i="43"/>
  <c r="M132" i="43"/>
  <c r="M133" i="43"/>
  <c r="M134" i="43"/>
  <c r="J2" i="43"/>
  <c r="J3" i="43"/>
  <c r="J4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J67" i="43"/>
  <c r="J68" i="43"/>
  <c r="J69" i="43"/>
  <c r="J70" i="43"/>
  <c r="J71" i="43"/>
  <c r="J72" i="43"/>
  <c r="J73" i="43"/>
  <c r="J74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89" i="43"/>
  <c r="J90" i="43"/>
  <c r="J91" i="43"/>
  <c r="J92" i="43"/>
  <c r="J93" i="43"/>
  <c r="J94" i="43"/>
  <c r="J95" i="43"/>
  <c r="J96" i="43"/>
  <c r="J97" i="43"/>
  <c r="J98" i="43"/>
  <c r="J99" i="43"/>
  <c r="J100" i="43"/>
  <c r="J101" i="43"/>
  <c r="J102" i="43"/>
  <c r="J103" i="43"/>
  <c r="J104" i="43"/>
  <c r="J105" i="43"/>
  <c r="J106" i="43"/>
  <c r="J107" i="43"/>
  <c r="J108" i="43"/>
  <c r="J109" i="43"/>
  <c r="J110" i="43"/>
  <c r="J111" i="43"/>
  <c r="J112" i="43"/>
  <c r="J113" i="43"/>
  <c r="J114" i="43"/>
  <c r="J115" i="43"/>
  <c r="J116" i="43"/>
  <c r="J117" i="43"/>
  <c r="J118" i="43"/>
  <c r="J119" i="43"/>
  <c r="J120" i="43"/>
  <c r="J121" i="43"/>
  <c r="J122" i="43"/>
  <c r="J123" i="43"/>
  <c r="J124" i="43"/>
  <c r="J125" i="43"/>
  <c r="J126" i="43"/>
  <c r="J127" i="43"/>
  <c r="J128" i="43"/>
  <c r="J129" i="43"/>
  <c r="J130" i="43"/>
  <c r="J131" i="43"/>
  <c r="J132" i="43"/>
  <c r="J133" i="43"/>
  <c r="J134" i="43"/>
  <c r="F2" i="43"/>
  <c r="F3" i="43"/>
  <c r="F4" i="43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F107" i="43"/>
  <c r="F108" i="43"/>
  <c r="F109" i="43"/>
  <c r="F110" i="43"/>
  <c r="F111" i="43"/>
  <c r="F112" i="43"/>
  <c r="F113" i="43"/>
  <c r="F114" i="43"/>
  <c r="F115" i="43"/>
  <c r="F116" i="43"/>
  <c r="F117" i="43"/>
  <c r="F118" i="43"/>
  <c r="F119" i="43"/>
  <c r="F120" i="43"/>
  <c r="F121" i="43"/>
  <c r="F122" i="43"/>
  <c r="F123" i="43"/>
  <c r="F124" i="43"/>
  <c r="F125" i="43"/>
  <c r="F126" i="43"/>
  <c r="F127" i="43"/>
  <c r="F128" i="43"/>
  <c r="F129" i="43"/>
  <c r="F130" i="43"/>
  <c r="F131" i="43"/>
  <c r="F132" i="43"/>
  <c r="F133" i="43"/>
  <c r="F134" i="43"/>
  <c r="P4" i="42"/>
  <c r="P3" i="42"/>
  <c r="P2" i="42"/>
  <c r="M2" i="42"/>
  <c r="M3" i="42"/>
  <c r="M4" i="42"/>
  <c r="M5" i="42"/>
  <c r="M6" i="42"/>
  <c r="M7" i="42"/>
  <c r="M8" i="42"/>
  <c r="M9" i="42"/>
  <c r="M10" i="42"/>
  <c r="M11" i="42"/>
  <c r="M12" i="42"/>
  <c r="M13" i="42"/>
  <c r="M14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K2" i="42"/>
  <c r="K3" i="42"/>
  <c r="K4" i="42"/>
  <c r="K5" i="42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H2" i="42"/>
  <c r="H3" i="42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D2" i="42"/>
  <c r="D3" i="42"/>
  <c r="D4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P4" i="41"/>
  <c r="P3" i="41"/>
  <c r="P2" i="41"/>
  <c r="M2" i="41"/>
  <c r="M3" i="41"/>
  <c r="M4" i="41"/>
  <c r="M5" i="41"/>
  <c r="M6" i="41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K2" i="41"/>
  <c r="K3" i="41"/>
  <c r="K4" i="41"/>
  <c r="K5" i="41"/>
  <c r="K6" i="41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H2" i="41"/>
  <c r="H3" i="41"/>
  <c r="H4" i="4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D2" i="41"/>
  <c r="D3" i="41"/>
  <c r="D4" i="41"/>
  <c r="D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Q4" i="40"/>
  <c r="Q3" i="40"/>
  <c r="Q2" i="40"/>
  <c r="N2" i="40"/>
  <c r="N3" i="40"/>
  <c r="N4" i="40"/>
  <c r="N5" i="40"/>
  <c r="N6" i="40"/>
  <c r="N7" i="40"/>
  <c r="N8" i="40"/>
  <c r="N9" i="40"/>
  <c r="N10" i="40"/>
  <c r="N11" i="40"/>
  <c r="N12" i="40"/>
  <c r="N13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N42" i="40"/>
  <c r="N43" i="40"/>
  <c r="N44" i="40"/>
  <c r="N45" i="40"/>
  <c r="N46" i="40"/>
  <c r="N47" i="40"/>
  <c r="N48" i="40"/>
  <c r="N49" i="40"/>
  <c r="N50" i="40"/>
  <c r="N51" i="40"/>
  <c r="N52" i="40"/>
  <c r="N53" i="40"/>
  <c r="N54" i="40"/>
  <c r="N55" i="40"/>
  <c r="N56" i="40"/>
  <c r="N57" i="40"/>
  <c r="N58" i="40"/>
  <c r="N59" i="40"/>
  <c r="N60" i="40"/>
  <c r="N61" i="40"/>
  <c r="N62" i="40"/>
  <c r="N63" i="40"/>
  <c r="N64" i="40"/>
  <c r="N65" i="40"/>
  <c r="N66" i="40"/>
  <c r="N67" i="40"/>
  <c r="N68" i="40"/>
  <c r="L2" i="40"/>
  <c r="L3" i="40"/>
  <c r="L4" i="40"/>
  <c r="L5" i="40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I2" i="40"/>
  <c r="I3" i="40"/>
  <c r="I4" i="40"/>
  <c r="I5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I50" i="40"/>
  <c r="I51" i="40"/>
  <c r="I52" i="40"/>
  <c r="I53" i="40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E2" i="40"/>
  <c r="E3" i="40"/>
  <c r="E4" i="40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P4" i="39"/>
  <c r="P3" i="39"/>
  <c r="P2" i="39"/>
  <c r="M2" i="39"/>
  <c r="M3" i="39"/>
  <c r="M4" i="39"/>
  <c r="M5" i="39"/>
  <c r="M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5" i="39"/>
  <c r="M76" i="39"/>
  <c r="M77" i="39"/>
  <c r="M78" i="39"/>
  <c r="K2" i="39"/>
  <c r="K3" i="39"/>
  <c r="K4" i="39"/>
  <c r="K5" i="39"/>
  <c r="K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H2" i="39"/>
  <c r="H3" i="39"/>
  <c r="H4" i="39"/>
  <c r="H5" i="39"/>
  <c r="H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D2" i="39"/>
  <c r="D3" i="39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P4" i="38"/>
  <c r="P3" i="38"/>
  <c r="P2" i="38"/>
  <c r="M2" i="38"/>
  <c r="M3" i="38"/>
  <c r="M4" i="38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63" i="38"/>
  <c r="M64" i="38"/>
  <c r="M65" i="38"/>
  <c r="M66" i="38"/>
  <c r="M67" i="38"/>
  <c r="M68" i="38"/>
  <c r="M69" i="38"/>
  <c r="M70" i="38"/>
  <c r="M71" i="38"/>
  <c r="M72" i="38"/>
  <c r="M73" i="38"/>
  <c r="M74" i="38"/>
  <c r="M75" i="38"/>
  <c r="M76" i="38"/>
  <c r="M77" i="38"/>
  <c r="M78" i="38"/>
  <c r="M79" i="38"/>
  <c r="M80" i="38"/>
  <c r="M81" i="38"/>
  <c r="M82" i="38"/>
  <c r="M83" i="38"/>
  <c r="M84" i="38"/>
  <c r="M85" i="38"/>
  <c r="M86" i="38"/>
  <c r="M87" i="38"/>
  <c r="M88" i="38"/>
  <c r="M89" i="38"/>
  <c r="K2" i="38"/>
  <c r="K3" i="38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85" i="38"/>
  <c r="K86" i="38"/>
  <c r="K87" i="38"/>
  <c r="K88" i="38"/>
  <c r="K89" i="38"/>
  <c r="H2" i="38"/>
  <c r="H3" i="38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H79" i="38"/>
  <c r="H80" i="38"/>
  <c r="H81" i="38"/>
  <c r="H82" i="38"/>
  <c r="H83" i="38"/>
  <c r="H84" i="38"/>
  <c r="H85" i="38"/>
  <c r="H86" i="38"/>
  <c r="H87" i="38"/>
  <c r="H88" i="38"/>
  <c r="H89" i="38"/>
  <c r="D2" i="38"/>
  <c r="D3" i="38"/>
  <c r="D4" i="38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P4" i="37"/>
  <c r="P3" i="37"/>
  <c r="P2" i="37"/>
  <c r="M2" i="37"/>
  <c r="M3" i="37"/>
  <c r="M4" i="37"/>
  <c r="M5" i="37"/>
  <c r="M6" i="37"/>
  <c r="M7" i="37"/>
  <c r="M8" i="37"/>
  <c r="M9" i="37"/>
  <c r="M10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K2" i="37"/>
  <c r="K3" i="37"/>
  <c r="K4" i="37"/>
  <c r="K5" i="37"/>
  <c r="K6" i="37"/>
  <c r="K7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H2" i="37"/>
  <c r="H3" i="37"/>
  <c r="H4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D2" i="37"/>
  <c r="D3" i="37"/>
  <c r="D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Q4" i="36"/>
  <c r="Q3" i="36"/>
  <c r="Q2" i="36"/>
  <c r="N2" i="36"/>
  <c r="N3" i="36"/>
  <c r="N4" i="36"/>
  <c r="N5" i="36"/>
  <c r="N6" i="36"/>
  <c r="N7" i="36"/>
  <c r="N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I2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E2" i="36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P4" i="35"/>
  <c r="P3" i="35"/>
  <c r="P2" i="35"/>
  <c r="M2" i="35"/>
  <c r="M3" i="35"/>
  <c r="M4" i="35"/>
  <c r="M5" i="35"/>
  <c r="M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K2" i="35"/>
  <c r="K3" i="35"/>
  <c r="K4" i="35"/>
  <c r="K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H2" i="35"/>
  <c r="H3" i="35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D3" i="35"/>
  <c r="D4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2" i="35"/>
  <c r="P4" i="34"/>
  <c r="P3" i="34"/>
  <c r="P2" i="34"/>
  <c r="D2" i="34"/>
  <c r="D3" i="34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K2" i="34"/>
  <c r="K3" i="34"/>
  <c r="K4" i="34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H2" i="34"/>
  <c r="M2" i="34" s="1"/>
  <c r="H3" i="34"/>
  <c r="H4" i="34"/>
  <c r="M4" i="34" s="1"/>
  <c r="H5" i="34"/>
  <c r="H6" i="34"/>
  <c r="M6" i="34" s="1"/>
  <c r="H7" i="34"/>
  <c r="H8" i="34"/>
  <c r="M8" i="34" s="1"/>
  <c r="H9" i="34"/>
  <c r="H10" i="34"/>
  <c r="M10" i="34" s="1"/>
  <c r="H11" i="34"/>
  <c r="H12" i="34"/>
  <c r="H13" i="34"/>
  <c r="M13" i="34" s="1"/>
  <c r="H14" i="34"/>
  <c r="H15" i="34"/>
  <c r="H16" i="34"/>
  <c r="M16" i="34" s="1"/>
  <c r="H17" i="34"/>
  <c r="H18" i="34"/>
  <c r="M18" i="34" s="1"/>
  <c r="H19" i="34"/>
  <c r="H20" i="34"/>
  <c r="H21" i="34"/>
  <c r="M21" i="34" s="1"/>
  <c r="H22" i="34"/>
  <c r="H23" i="34"/>
  <c r="H24" i="34"/>
  <c r="M24" i="34" s="1"/>
  <c r="H25" i="34"/>
  <c r="H26" i="34"/>
  <c r="M26" i="34" s="1"/>
  <c r="H27" i="34"/>
  <c r="H28" i="34"/>
  <c r="H29" i="34"/>
  <c r="M29" i="34" s="1"/>
  <c r="H30" i="34"/>
  <c r="H31" i="34"/>
  <c r="H32" i="34"/>
  <c r="M32" i="34" s="1"/>
  <c r="H33" i="34"/>
  <c r="H34" i="34"/>
  <c r="M34" i="34" s="1"/>
  <c r="P4" i="33"/>
  <c r="P3" i="33"/>
  <c r="P2" i="33"/>
  <c r="M2" i="33"/>
  <c r="M3" i="33"/>
  <c r="M4" i="33"/>
  <c r="M5" i="33"/>
  <c r="M6" i="33"/>
  <c r="M7" i="33"/>
  <c r="M8" i="33"/>
  <c r="M9" i="33"/>
  <c r="M10" i="33"/>
  <c r="M11" i="33"/>
  <c r="K2" i="33"/>
  <c r="K3" i="33"/>
  <c r="K4" i="33"/>
  <c r="K5" i="33"/>
  <c r="K6" i="33"/>
  <c r="K7" i="33"/>
  <c r="K8" i="33"/>
  <c r="K9" i="33"/>
  <c r="K10" i="33"/>
  <c r="K11" i="33"/>
  <c r="H2" i="33"/>
  <c r="H3" i="33"/>
  <c r="H4" i="33"/>
  <c r="H5" i="33"/>
  <c r="H6" i="33"/>
  <c r="H7" i="33"/>
  <c r="H8" i="33"/>
  <c r="H9" i="33"/>
  <c r="H10" i="33"/>
  <c r="H11" i="33"/>
  <c r="D2" i="33"/>
  <c r="D3" i="33"/>
  <c r="D4" i="33"/>
  <c r="D5" i="33"/>
  <c r="D6" i="33"/>
  <c r="D7" i="33"/>
  <c r="D8" i="33"/>
  <c r="D9" i="33"/>
  <c r="D10" i="33"/>
  <c r="D11" i="33"/>
  <c r="P3" i="32"/>
  <c r="P2" i="32"/>
  <c r="M10" i="32"/>
  <c r="M11" i="32"/>
  <c r="M12" i="32"/>
  <c r="M18" i="32"/>
  <c r="M4" i="32"/>
  <c r="K2" i="32"/>
  <c r="K3" i="32"/>
  <c r="K5" i="32"/>
  <c r="K6" i="32"/>
  <c r="K7" i="32"/>
  <c r="K8" i="32"/>
  <c r="K9" i="32"/>
  <c r="K10" i="32"/>
  <c r="K11" i="32"/>
  <c r="K12" i="32"/>
  <c r="K13" i="32"/>
  <c r="M13" i="32" s="1"/>
  <c r="K14" i="32"/>
  <c r="K15" i="32"/>
  <c r="K16" i="32"/>
  <c r="K17" i="32"/>
  <c r="K18" i="32"/>
  <c r="K4" i="32"/>
  <c r="H2" i="32"/>
  <c r="M2" i="32" s="1"/>
  <c r="P4" i="32" s="1"/>
  <c r="H3" i="32"/>
  <c r="M3" i="32" s="1"/>
  <c r="H5" i="32"/>
  <c r="M5" i="32" s="1"/>
  <c r="H6" i="32"/>
  <c r="M6" i="32" s="1"/>
  <c r="H7" i="32"/>
  <c r="M7" i="32" s="1"/>
  <c r="H8" i="32"/>
  <c r="M8" i="32" s="1"/>
  <c r="H9" i="32"/>
  <c r="M9" i="32" s="1"/>
  <c r="H10" i="32"/>
  <c r="H11" i="32"/>
  <c r="H12" i="32"/>
  <c r="H13" i="32"/>
  <c r="H14" i="32"/>
  <c r="M14" i="32" s="1"/>
  <c r="H15" i="32"/>
  <c r="M15" i="32" s="1"/>
  <c r="H16" i="32"/>
  <c r="M16" i="32" s="1"/>
  <c r="H17" i="32"/>
  <c r="M17" i="32" s="1"/>
  <c r="H18" i="32"/>
  <c r="H4" i="32"/>
  <c r="D2" i="32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P4" i="31"/>
  <c r="P3" i="31"/>
  <c r="P2" i="31"/>
  <c r="M2" i="31"/>
  <c r="M3" i="31"/>
  <c r="M4" i="31"/>
  <c r="M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K2" i="31"/>
  <c r="K3" i="31"/>
  <c r="K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H2" i="31"/>
  <c r="H3" i="31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D2" i="31"/>
  <c r="D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P4" i="30"/>
  <c r="P3" i="30"/>
  <c r="P2" i="30"/>
  <c r="M2" i="30"/>
  <c r="M3" i="30"/>
  <c r="M4" i="30"/>
  <c r="M5" i="30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106" i="30"/>
  <c r="M107" i="30"/>
  <c r="M108" i="30"/>
  <c r="M109" i="30"/>
  <c r="M110" i="30"/>
  <c r="M111" i="30"/>
  <c r="M112" i="30"/>
  <c r="M113" i="30"/>
  <c r="M114" i="30"/>
  <c r="M115" i="30"/>
  <c r="M116" i="30"/>
  <c r="K2" i="30"/>
  <c r="K3" i="30"/>
  <c r="K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103" i="30"/>
  <c r="K104" i="30"/>
  <c r="K105" i="30"/>
  <c r="K106" i="30"/>
  <c r="K107" i="30"/>
  <c r="K108" i="30"/>
  <c r="K109" i="30"/>
  <c r="K110" i="30"/>
  <c r="K111" i="30"/>
  <c r="K112" i="30"/>
  <c r="K113" i="30"/>
  <c r="K114" i="30"/>
  <c r="K115" i="30"/>
  <c r="K116" i="30"/>
  <c r="H2" i="30"/>
  <c r="H3" i="30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D2" i="30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Q4" i="29"/>
  <c r="Q3" i="29"/>
  <c r="Q2" i="29"/>
  <c r="N2" i="29"/>
  <c r="N3" i="29"/>
  <c r="N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68" i="29"/>
  <c r="N69" i="29"/>
  <c r="N70" i="29"/>
  <c r="N71" i="29"/>
  <c r="N72" i="29"/>
  <c r="N73" i="29"/>
  <c r="N74" i="29"/>
  <c r="N75" i="29"/>
  <c r="N76" i="29"/>
  <c r="N77" i="29"/>
  <c r="N78" i="29"/>
  <c r="N79" i="29"/>
  <c r="N80" i="29"/>
  <c r="N81" i="29"/>
  <c r="N82" i="29"/>
  <c r="N83" i="29"/>
  <c r="L2" i="29"/>
  <c r="L3" i="29"/>
  <c r="L4" i="29"/>
  <c r="L5" i="29"/>
  <c r="L6" i="29"/>
  <c r="L7" i="29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1" i="29"/>
  <c r="L72" i="29"/>
  <c r="L73" i="29"/>
  <c r="L74" i="29"/>
  <c r="L75" i="29"/>
  <c r="L76" i="29"/>
  <c r="L77" i="29"/>
  <c r="L78" i="29"/>
  <c r="L79" i="29"/>
  <c r="L80" i="29"/>
  <c r="L81" i="29"/>
  <c r="L82" i="29"/>
  <c r="L83" i="29"/>
  <c r="I2" i="29"/>
  <c r="I3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E2" i="29"/>
  <c r="E3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P4" i="28"/>
  <c r="P3" i="28"/>
  <c r="P2" i="28"/>
  <c r="M2" i="28"/>
  <c r="M3" i="28"/>
  <c r="M4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K2" i="28"/>
  <c r="K3" i="28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H2" i="28"/>
  <c r="H3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D2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Q3" i="27"/>
  <c r="Q2" i="27"/>
  <c r="N72" i="27"/>
  <c r="L2" i="27"/>
  <c r="L3" i="27"/>
  <c r="L4" i="27"/>
  <c r="L5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N20" i="27" s="1"/>
  <c r="L21" i="27"/>
  <c r="L22" i="27"/>
  <c r="L23" i="27"/>
  <c r="L24" i="27"/>
  <c r="L25" i="27"/>
  <c r="L26" i="27"/>
  <c r="L27" i="27"/>
  <c r="L28" i="27"/>
  <c r="N28" i="27" s="1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N44" i="27" s="1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N60" i="27" s="1"/>
  <c r="L61" i="27"/>
  <c r="L62" i="27"/>
  <c r="L63" i="27"/>
  <c r="L64" i="27"/>
  <c r="L65" i="27"/>
  <c r="L66" i="27"/>
  <c r="L67" i="27"/>
  <c r="L68" i="27"/>
  <c r="N68" i="27" s="1"/>
  <c r="L69" i="27"/>
  <c r="L70" i="27"/>
  <c r="L71" i="27"/>
  <c r="L72" i="27"/>
  <c r="L73" i="27"/>
  <c r="L74" i="27"/>
  <c r="L78" i="27"/>
  <c r="L79" i="27"/>
  <c r="L75" i="27"/>
  <c r="L76" i="27"/>
  <c r="L77" i="27"/>
  <c r="L80" i="27"/>
  <c r="L81" i="27"/>
  <c r="L82" i="27"/>
  <c r="L83" i="27"/>
  <c r="L84" i="27"/>
  <c r="N84" i="27" s="1"/>
  <c r="I2" i="27"/>
  <c r="I3" i="27"/>
  <c r="I4" i="27"/>
  <c r="I5" i="27"/>
  <c r="N5" i="27" s="1"/>
  <c r="I6" i="27"/>
  <c r="N6" i="27" s="1"/>
  <c r="I7" i="27"/>
  <c r="N7" i="27" s="1"/>
  <c r="I8" i="27"/>
  <c r="N8" i="27" s="1"/>
  <c r="I9" i="27"/>
  <c r="N9" i="27" s="1"/>
  <c r="I10" i="27"/>
  <c r="I11" i="27"/>
  <c r="I12" i="27"/>
  <c r="N12" i="27" s="1"/>
  <c r="I13" i="27"/>
  <c r="I14" i="27"/>
  <c r="N14" i="27" s="1"/>
  <c r="I15" i="27"/>
  <c r="N15" i="27" s="1"/>
  <c r="I16" i="27"/>
  <c r="N16" i="27" s="1"/>
  <c r="I17" i="27"/>
  <c r="N17" i="27" s="1"/>
  <c r="I18" i="27"/>
  <c r="I19" i="27"/>
  <c r="I20" i="27"/>
  <c r="I21" i="27"/>
  <c r="I22" i="27"/>
  <c r="N22" i="27" s="1"/>
  <c r="I23" i="27"/>
  <c r="N23" i="27" s="1"/>
  <c r="I24" i="27"/>
  <c r="N24" i="27" s="1"/>
  <c r="I25" i="27"/>
  <c r="N25" i="27" s="1"/>
  <c r="I26" i="27"/>
  <c r="I27" i="27"/>
  <c r="I28" i="27"/>
  <c r="I29" i="27"/>
  <c r="I30" i="27"/>
  <c r="N30" i="27" s="1"/>
  <c r="I31" i="27"/>
  <c r="N31" i="27" s="1"/>
  <c r="I32" i="27"/>
  <c r="N32" i="27" s="1"/>
  <c r="I33" i="27"/>
  <c r="N33" i="27" s="1"/>
  <c r="I34" i="27"/>
  <c r="I35" i="27"/>
  <c r="I36" i="27"/>
  <c r="N36" i="27" s="1"/>
  <c r="I37" i="27"/>
  <c r="I38" i="27"/>
  <c r="N38" i="27" s="1"/>
  <c r="I39" i="27"/>
  <c r="N39" i="27" s="1"/>
  <c r="I40" i="27"/>
  <c r="N40" i="27" s="1"/>
  <c r="I41" i="27"/>
  <c r="N41" i="27" s="1"/>
  <c r="I42" i="27"/>
  <c r="I43" i="27"/>
  <c r="I44" i="27"/>
  <c r="I45" i="27"/>
  <c r="I46" i="27"/>
  <c r="N46" i="27" s="1"/>
  <c r="I47" i="27"/>
  <c r="N47" i="27" s="1"/>
  <c r="I48" i="27"/>
  <c r="N48" i="27" s="1"/>
  <c r="I49" i="27"/>
  <c r="N49" i="27" s="1"/>
  <c r="I50" i="27"/>
  <c r="I51" i="27"/>
  <c r="I52" i="27"/>
  <c r="N52" i="27" s="1"/>
  <c r="I53" i="27"/>
  <c r="I54" i="27"/>
  <c r="N54" i="27" s="1"/>
  <c r="I55" i="27"/>
  <c r="N55" i="27" s="1"/>
  <c r="I56" i="27"/>
  <c r="N56" i="27" s="1"/>
  <c r="I57" i="27"/>
  <c r="N57" i="27" s="1"/>
  <c r="I58" i="27"/>
  <c r="I59" i="27"/>
  <c r="I60" i="27"/>
  <c r="I61" i="27"/>
  <c r="I62" i="27"/>
  <c r="N62" i="27" s="1"/>
  <c r="I63" i="27"/>
  <c r="N63" i="27" s="1"/>
  <c r="I64" i="27"/>
  <c r="N64" i="27" s="1"/>
  <c r="I65" i="27"/>
  <c r="N65" i="27" s="1"/>
  <c r="I66" i="27"/>
  <c r="I67" i="27"/>
  <c r="I68" i="27"/>
  <c r="I69" i="27"/>
  <c r="I70" i="27"/>
  <c r="N70" i="27" s="1"/>
  <c r="I71" i="27"/>
  <c r="N71" i="27" s="1"/>
  <c r="I72" i="27"/>
  <c r="I73" i="27"/>
  <c r="N73" i="27" s="1"/>
  <c r="I74" i="27"/>
  <c r="I78" i="27"/>
  <c r="I79" i="27"/>
  <c r="N79" i="27" s="1"/>
  <c r="I75" i="27"/>
  <c r="I76" i="27"/>
  <c r="N76" i="27" s="1"/>
  <c r="I77" i="27"/>
  <c r="N77" i="27" s="1"/>
  <c r="I80" i="27"/>
  <c r="N80" i="27" s="1"/>
  <c r="I81" i="27"/>
  <c r="N81" i="27" s="1"/>
  <c r="I82" i="27"/>
  <c r="I83" i="27"/>
  <c r="I84" i="27"/>
  <c r="D2" i="27"/>
  <c r="D3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Q4" i="26"/>
  <c r="Q3" i="26"/>
  <c r="Q2" i="26"/>
  <c r="N2" i="26"/>
  <c r="N3" i="26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L2" i="26"/>
  <c r="L3" i="26"/>
  <c r="L5" i="26"/>
  <c r="L4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1" i="26"/>
  <c r="L20" i="26"/>
  <c r="L22" i="26"/>
  <c r="L23" i="26"/>
  <c r="L24" i="26"/>
  <c r="L25" i="26"/>
  <c r="I2" i="26"/>
  <c r="I3" i="26"/>
  <c r="I5" i="26"/>
  <c r="I4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1" i="26"/>
  <c r="I20" i="26"/>
  <c r="I22" i="26"/>
  <c r="I23" i="26"/>
  <c r="I24" i="26"/>
  <c r="I25" i="26"/>
  <c r="E2" i="26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1" i="26"/>
  <c r="E20" i="26"/>
  <c r="E22" i="26"/>
  <c r="E23" i="26"/>
  <c r="E24" i="26"/>
  <c r="E25" i="26"/>
  <c r="P4" i="25"/>
  <c r="P3" i="25"/>
  <c r="P2" i="25"/>
  <c r="M2" i="25"/>
  <c r="M3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K2" i="25"/>
  <c r="K3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H12" i="25"/>
  <c r="H17" i="25"/>
  <c r="H16" i="25"/>
  <c r="H7" i="25"/>
  <c r="H3" i="25"/>
  <c r="H9" i="25"/>
  <c r="H11" i="25"/>
  <c r="H6" i="25"/>
  <c r="H10" i="25"/>
  <c r="H14" i="25"/>
  <c r="H8" i="25"/>
  <c r="H13" i="25"/>
  <c r="H5" i="25"/>
  <c r="H4" i="25"/>
  <c r="H15" i="25"/>
  <c r="H2" i="25"/>
  <c r="D2" i="25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R4" i="9"/>
  <c r="R3" i="9"/>
  <c r="R2" i="9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J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R4" i="5"/>
  <c r="R3" i="5"/>
  <c r="R2" i="5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" i="5"/>
  <c r="J244" i="5"/>
  <c r="J245" i="5"/>
  <c r="J246" i="5"/>
  <c r="J247" i="5"/>
  <c r="J248" i="5"/>
  <c r="J249" i="5"/>
  <c r="J250" i="5"/>
  <c r="J251" i="5"/>
  <c r="J252" i="5"/>
  <c r="J253" i="5"/>
  <c r="J254" i="5"/>
  <c r="J243" i="5"/>
  <c r="R4" i="4"/>
  <c r="R3" i="4"/>
  <c r="R2" i="4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2" i="4"/>
  <c r="J35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2" i="4"/>
  <c r="R4" i="6"/>
  <c r="R3" i="6"/>
  <c r="R2" i="6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M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Q4" i="3"/>
  <c r="Q3" i="3"/>
  <c r="Q2" i="3"/>
  <c r="N15" i="3"/>
  <c r="N16" i="3"/>
  <c r="N23" i="3"/>
  <c r="N24" i="3"/>
  <c r="N31" i="3"/>
  <c r="N32" i="3"/>
  <c r="N39" i="3"/>
  <c r="N40" i="3"/>
  <c r="N47" i="3"/>
  <c r="N48" i="3"/>
  <c r="N55" i="3"/>
  <c r="N56" i="3"/>
  <c r="N63" i="3"/>
  <c r="N64" i="3"/>
  <c r="N71" i="3"/>
  <c r="N72" i="3"/>
  <c r="N79" i="3"/>
  <c r="N80" i="3"/>
  <c r="N87" i="3"/>
  <c r="N88" i="3"/>
  <c r="N95" i="3"/>
  <c r="N96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J16" i="3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4" i="3"/>
  <c r="J25" i="3"/>
  <c r="N25" i="3" s="1"/>
  <c r="J26" i="3"/>
  <c r="N26" i="3" s="1"/>
  <c r="J27" i="3"/>
  <c r="N27" i="3" s="1"/>
  <c r="J28" i="3"/>
  <c r="N28" i="3" s="1"/>
  <c r="J29" i="3"/>
  <c r="N29" i="3" s="1"/>
  <c r="J30" i="3"/>
  <c r="N30" i="3" s="1"/>
  <c r="J31" i="3"/>
  <c r="J32" i="3"/>
  <c r="J33" i="3"/>
  <c r="N33" i="3" s="1"/>
  <c r="J34" i="3"/>
  <c r="N34" i="3" s="1"/>
  <c r="J35" i="3"/>
  <c r="N35" i="3" s="1"/>
  <c r="J36" i="3"/>
  <c r="N36" i="3" s="1"/>
  <c r="J37" i="3"/>
  <c r="N37" i="3" s="1"/>
  <c r="J38" i="3"/>
  <c r="N38" i="3" s="1"/>
  <c r="J39" i="3"/>
  <c r="J40" i="3"/>
  <c r="J41" i="3"/>
  <c r="N41" i="3" s="1"/>
  <c r="J42" i="3"/>
  <c r="N42" i="3" s="1"/>
  <c r="J43" i="3"/>
  <c r="N43" i="3" s="1"/>
  <c r="J44" i="3"/>
  <c r="N44" i="3" s="1"/>
  <c r="J45" i="3"/>
  <c r="N45" i="3" s="1"/>
  <c r="J46" i="3"/>
  <c r="N46" i="3" s="1"/>
  <c r="J47" i="3"/>
  <c r="J48" i="3"/>
  <c r="J49" i="3"/>
  <c r="N49" i="3" s="1"/>
  <c r="J50" i="3"/>
  <c r="N50" i="3" s="1"/>
  <c r="J51" i="3"/>
  <c r="N51" i="3" s="1"/>
  <c r="J52" i="3"/>
  <c r="N52" i="3" s="1"/>
  <c r="J53" i="3"/>
  <c r="N53" i="3" s="1"/>
  <c r="J54" i="3"/>
  <c r="N54" i="3" s="1"/>
  <c r="J55" i="3"/>
  <c r="J56" i="3"/>
  <c r="J57" i="3"/>
  <c r="N57" i="3" s="1"/>
  <c r="J58" i="3"/>
  <c r="N58" i="3" s="1"/>
  <c r="J59" i="3"/>
  <c r="N59" i="3" s="1"/>
  <c r="J60" i="3"/>
  <c r="N60" i="3" s="1"/>
  <c r="J61" i="3"/>
  <c r="N61" i="3" s="1"/>
  <c r="J62" i="3"/>
  <c r="N62" i="3" s="1"/>
  <c r="J63" i="3"/>
  <c r="J64" i="3"/>
  <c r="J65" i="3"/>
  <c r="N65" i="3" s="1"/>
  <c r="J66" i="3"/>
  <c r="N66" i="3" s="1"/>
  <c r="J67" i="3"/>
  <c r="N67" i="3" s="1"/>
  <c r="J68" i="3"/>
  <c r="N68" i="3" s="1"/>
  <c r="J69" i="3"/>
  <c r="N69" i="3" s="1"/>
  <c r="J70" i="3"/>
  <c r="N70" i="3" s="1"/>
  <c r="J71" i="3"/>
  <c r="J72" i="3"/>
  <c r="J73" i="3"/>
  <c r="N73" i="3" s="1"/>
  <c r="J74" i="3"/>
  <c r="N74" i="3" s="1"/>
  <c r="J75" i="3"/>
  <c r="N75" i="3" s="1"/>
  <c r="J76" i="3"/>
  <c r="N76" i="3" s="1"/>
  <c r="J77" i="3"/>
  <c r="N77" i="3" s="1"/>
  <c r="J78" i="3"/>
  <c r="N78" i="3" s="1"/>
  <c r="J79" i="3"/>
  <c r="J80" i="3"/>
  <c r="J81" i="3"/>
  <c r="N81" i="3" s="1"/>
  <c r="J82" i="3"/>
  <c r="N82" i="3" s="1"/>
  <c r="J83" i="3"/>
  <c r="N83" i="3" s="1"/>
  <c r="J84" i="3"/>
  <c r="N84" i="3" s="1"/>
  <c r="J85" i="3"/>
  <c r="N85" i="3" s="1"/>
  <c r="J86" i="3"/>
  <c r="N86" i="3" s="1"/>
  <c r="J87" i="3"/>
  <c r="J88" i="3"/>
  <c r="J89" i="3"/>
  <c r="N89" i="3" s="1"/>
  <c r="J90" i="3"/>
  <c r="N90" i="3" s="1"/>
  <c r="J91" i="3"/>
  <c r="N91" i="3" s="1"/>
  <c r="J92" i="3"/>
  <c r="N92" i="3" s="1"/>
  <c r="J93" i="3"/>
  <c r="N93" i="3" s="1"/>
  <c r="J94" i="3"/>
  <c r="N94" i="3" s="1"/>
  <c r="J95" i="3"/>
  <c r="J96" i="3"/>
  <c r="J2" i="3"/>
  <c r="N2" i="3" s="1"/>
  <c r="M2" i="24"/>
  <c r="M3" i="24"/>
  <c r="M4" i="24"/>
  <c r="M5" i="24"/>
  <c r="M6" i="24"/>
  <c r="M7" i="24"/>
  <c r="O7" i="24" s="1"/>
  <c r="M8" i="24"/>
  <c r="O8" i="24" s="1"/>
  <c r="M9" i="24"/>
  <c r="M10" i="24"/>
  <c r="O10" i="24" s="1"/>
  <c r="M11" i="24"/>
  <c r="M12" i="24"/>
  <c r="M13" i="24"/>
  <c r="M14" i="24"/>
  <c r="M15" i="24"/>
  <c r="O15" i="24" s="1"/>
  <c r="M16" i="24"/>
  <c r="O16" i="24" s="1"/>
  <c r="M17" i="24"/>
  <c r="M18" i="24"/>
  <c r="O18" i="24" s="1"/>
  <c r="M19" i="24"/>
  <c r="M20" i="24"/>
  <c r="M21" i="24"/>
  <c r="M22" i="24"/>
  <c r="M23" i="24"/>
  <c r="O23" i="24" s="1"/>
  <c r="M24" i="24"/>
  <c r="O24" i="24" s="1"/>
  <c r="M25" i="24"/>
  <c r="M26" i="24"/>
  <c r="O26" i="24" s="1"/>
  <c r="M27" i="24"/>
  <c r="M28" i="24"/>
  <c r="M29" i="24"/>
  <c r="M30" i="24"/>
  <c r="M31" i="24"/>
  <c r="O31" i="24" s="1"/>
  <c r="M32" i="24"/>
  <c r="O32" i="24" s="1"/>
  <c r="M33" i="24"/>
  <c r="M34" i="24"/>
  <c r="O34" i="24" s="1"/>
  <c r="M35" i="24"/>
  <c r="M36" i="24"/>
  <c r="M37" i="24"/>
  <c r="M38" i="24"/>
  <c r="M39" i="24"/>
  <c r="O39" i="24" s="1"/>
  <c r="M40" i="24"/>
  <c r="O40" i="24" s="1"/>
  <c r="M41" i="24"/>
  <c r="M42" i="24"/>
  <c r="O42" i="24" s="1"/>
  <c r="M43" i="24"/>
  <c r="M44" i="24"/>
  <c r="M45" i="24"/>
  <c r="M46" i="24"/>
  <c r="M47" i="24"/>
  <c r="O47" i="24" s="1"/>
  <c r="M48" i="24"/>
  <c r="O48" i="24" s="1"/>
  <c r="M49" i="24"/>
  <c r="M50" i="24"/>
  <c r="O50" i="24" s="1"/>
  <c r="M51" i="24"/>
  <c r="M52" i="24"/>
  <c r="M53" i="24"/>
  <c r="M54" i="24"/>
  <c r="M55" i="24"/>
  <c r="O55" i="24" s="1"/>
  <c r="M56" i="24"/>
  <c r="O56" i="24" s="1"/>
  <c r="M57" i="24"/>
  <c r="M58" i="24"/>
  <c r="O58" i="24" s="1"/>
  <c r="M59" i="24"/>
  <c r="M60" i="24"/>
  <c r="M61" i="24"/>
  <c r="M62" i="24"/>
  <c r="M63" i="24"/>
  <c r="O63" i="24" s="1"/>
  <c r="M64" i="24"/>
  <c r="O64" i="24" s="1"/>
  <c r="M65" i="24"/>
  <c r="M66" i="24"/>
  <c r="O66" i="24" s="1"/>
  <c r="M67" i="24"/>
  <c r="M68" i="24"/>
  <c r="M69" i="24"/>
  <c r="M70" i="24"/>
  <c r="M71" i="24"/>
  <c r="O71" i="24" s="1"/>
  <c r="M72" i="24"/>
  <c r="O72" i="24" s="1"/>
  <c r="M73" i="24"/>
  <c r="M74" i="24"/>
  <c r="O74" i="24" s="1"/>
  <c r="M75" i="24"/>
  <c r="M76" i="24"/>
  <c r="M77" i="24"/>
  <c r="M78" i="24"/>
  <c r="M79" i="24"/>
  <c r="O79" i="24" s="1"/>
  <c r="M80" i="24"/>
  <c r="O80" i="24" s="1"/>
  <c r="M81" i="24"/>
  <c r="M82" i="24"/>
  <c r="O82" i="24" s="1"/>
  <c r="M83" i="24"/>
  <c r="M84" i="24"/>
  <c r="M85" i="24"/>
  <c r="M86" i="24"/>
  <c r="M87" i="24"/>
  <c r="O87" i="24" s="1"/>
  <c r="M88" i="24"/>
  <c r="O88" i="24" s="1"/>
  <c r="M89" i="24"/>
  <c r="M90" i="24"/>
  <c r="O90" i="24" s="1"/>
  <c r="M91" i="24"/>
  <c r="M92" i="24"/>
  <c r="M93" i="24"/>
  <c r="M94" i="24"/>
  <c r="M95" i="24"/>
  <c r="O95" i="24" s="1"/>
  <c r="M96" i="24"/>
  <c r="O96" i="24" s="1"/>
  <c r="M97" i="24"/>
  <c r="M98" i="24"/>
  <c r="O98" i="24" s="1"/>
  <c r="M99" i="24"/>
  <c r="M100" i="24"/>
  <c r="M101" i="24"/>
  <c r="M102" i="24"/>
  <c r="M103" i="24"/>
  <c r="O103" i="24" s="1"/>
  <c r="M104" i="24"/>
  <c r="O104" i="24" s="1"/>
  <c r="M105" i="24"/>
  <c r="M106" i="24"/>
  <c r="O106" i="24" s="1"/>
  <c r="M107" i="24"/>
  <c r="M108" i="24"/>
  <c r="M109" i="24"/>
  <c r="M110" i="24"/>
  <c r="M111" i="24"/>
  <c r="O111" i="24" s="1"/>
  <c r="M112" i="24"/>
  <c r="O112" i="24" s="1"/>
  <c r="M113" i="24"/>
  <c r="M114" i="24"/>
  <c r="O114" i="24" s="1"/>
  <c r="M115" i="24"/>
  <c r="M116" i="24"/>
  <c r="M117" i="24"/>
  <c r="M118" i="24"/>
  <c r="M119" i="24"/>
  <c r="O119" i="24" s="1"/>
  <c r="M120" i="24"/>
  <c r="O120" i="24" s="1"/>
  <c r="M121" i="24"/>
  <c r="O2" i="23"/>
  <c r="O3" i="23"/>
  <c r="O4" i="23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M2" i="23"/>
  <c r="M3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J2" i="23"/>
  <c r="J3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O2" i="21"/>
  <c r="O3" i="21"/>
  <c r="O4" i="21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M2" i="21"/>
  <c r="M3" i="21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J2" i="21"/>
  <c r="J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R4" i="18"/>
  <c r="R3" i="18"/>
  <c r="R2" i="18"/>
  <c r="O2" i="18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M2" i="18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160" i="18"/>
  <c r="J2" i="18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O2" i="16"/>
  <c r="O3" i="16"/>
  <c r="O4" i="16"/>
  <c r="O5" i="16"/>
  <c r="O6" i="16"/>
  <c r="O7" i="16"/>
  <c r="O8" i="16"/>
  <c r="O9" i="16"/>
  <c r="M2" i="16"/>
  <c r="M3" i="16"/>
  <c r="M4" i="16"/>
  <c r="M5" i="16"/>
  <c r="M6" i="16"/>
  <c r="M7" i="16"/>
  <c r="M8" i="16"/>
  <c r="M9" i="16"/>
  <c r="J2" i="16"/>
  <c r="J3" i="16"/>
  <c r="J4" i="16"/>
  <c r="J5" i="16"/>
  <c r="J6" i="16"/>
  <c r="J7" i="16"/>
  <c r="J8" i="16"/>
  <c r="J9" i="16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8" i="15"/>
  <c r="O29" i="15"/>
  <c r="O30" i="15"/>
  <c r="O32" i="15"/>
  <c r="O33" i="15"/>
  <c r="O34" i="15"/>
  <c r="O35" i="15"/>
  <c r="O36" i="15"/>
  <c r="O37" i="15"/>
  <c r="O38" i="15"/>
  <c r="O39" i="15"/>
  <c r="O40" i="15"/>
  <c r="O41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9" i="15"/>
  <c r="O60" i="15"/>
  <c r="O61" i="15"/>
  <c r="O62" i="15"/>
  <c r="O63" i="15"/>
  <c r="O64" i="15"/>
  <c r="O65" i="15"/>
  <c r="O2" i="15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2" i="15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2" i="15"/>
  <c r="O20" i="14"/>
  <c r="O43" i="14"/>
  <c r="M2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J2" i="14"/>
  <c r="O2" i="14" s="1"/>
  <c r="J3" i="14"/>
  <c r="O3" i="14" s="1"/>
  <c r="J4" i="14"/>
  <c r="O4" i="14" s="1"/>
  <c r="J5" i="14"/>
  <c r="O5" i="14" s="1"/>
  <c r="J6" i="14"/>
  <c r="O6" i="14" s="1"/>
  <c r="J7" i="14"/>
  <c r="O7" i="14" s="1"/>
  <c r="J8" i="14"/>
  <c r="O8" i="14" s="1"/>
  <c r="J9" i="14"/>
  <c r="O9" i="14" s="1"/>
  <c r="J10" i="14"/>
  <c r="O10" i="14" s="1"/>
  <c r="J11" i="14"/>
  <c r="O11" i="14" s="1"/>
  <c r="J12" i="14"/>
  <c r="O12" i="14" s="1"/>
  <c r="J13" i="14"/>
  <c r="O13" i="14" s="1"/>
  <c r="J14" i="14"/>
  <c r="O14" i="14" s="1"/>
  <c r="J15" i="14"/>
  <c r="O15" i="14" s="1"/>
  <c r="J16" i="14"/>
  <c r="O16" i="14" s="1"/>
  <c r="J17" i="14"/>
  <c r="O17" i="14" s="1"/>
  <c r="J18" i="14"/>
  <c r="O18" i="14" s="1"/>
  <c r="J19" i="14"/>
  <c r="O19" i="14" s="1"/>
  <c r="J20" i="14"/>
  <c r="J21" i="14"/>
  <c r="O21" i="14" s="1"/>
  <c r="J22" i="14"/>
  <c r="O22" i="14" s="1"/>
  <c r="J23" i="14"/>
  <c r="O23" i="14" s="1"/>
  <c r="J24" i="14"/>
  <c r="O24" i="14" s="1"/>
  <c r="J25" i="14"/>
  <c r="O25" i="14" s="1"/>
  <c r="J26" i="14"/>
  <c r="O26" i="14" s="1"/>
  <c r="J27" i="14"/>
  <c r="O27" i="14" s="1"/>
  <c r="J28" i="14"/>
  <c r="O28" i="14" s="1"/>
  <c r="J29" i="14"/>
  <c r="O29" i="14" s="1"/>
  <c r="J30" i="14"/>
  <c r="O30" i="14" s="1"/>
  <c r="J31" i="14"/>
  <c r="O31" i="14" s="1"/>
  <c r="J32" i="14"/>
  <c r="O32" i="14" s="1"/>
  <c r="J33" i="14"/>
  <c r="O33" i="14" s="1"/>
  <c r="J34" i="14"/>
  <c r="O34" i="14" s="1"/>
  <c r="J35" i="14"/>
  <c r="O35" i="14" s="1"/>
  <c r="J36" i="14"/>
  <c r="O36" i="14" s="1"/>
  <c r="J37" i="14"/>
  <c r="O37" i="14" s="1"/>
  <c r="J38" i="14"/>
  <c r="O38" i="14" s="1"/>
  <c r="J39" i="14"/>
  <c r="O39" i="14" s="1"/>
  <c r="J40" i="14"/>
  <c r="O40" i="14" s="1"/>
  <c r="J41" i="14"/>
  <c r="O41" i="14" s="1"/>
  <c r="J42" i="14"/>
  <c r="O42" i="14" s="1"/>
  <c r="J43" i="14"/>
  <c r="J44" i="14"/>
  <c r="O44" i="14" s="1"/>
  <c r="J45" i="14"/>
  <c r="O45" i="14" s="1"/>
  <c r="J46" i="14"/>
  <c r="O46" i="14" s="1"/>
  <c r="J47" i="14"/>
  <c r="O47" i="14" s="1"/>
  <c r="J48" i="14"/>
  <c r="O48" i="14" s="1"/>
  <c r="J49" i="14"/>
  <c r="O49" i="14" s="1"/>
  <c r="J50" i="14"/>
  <c r="O50" i="14" s="1"/>
  <c r="J51" i="14"/>
  <c r="O51" i="14" s="1"/>
  <c r="J52" i="14"/>
  <c r="O52" i="14" s="1"/>
  <c r="J53" i="14"/>
  <c r="O53" i="14" s="1"/>
  <c r="J54" i="14"/>
  <c r="O54" i="14" s="1"/>
  <c r="J55" i="14"/>
  <c r="O55" i="14" s="1"/>
  <c r="J56" i="14"/>
  <c r="O56" i="14" s="1"/>
  <c r="J57" i="14"/>
  <c r="O57" i="14" s="1"/>
  <c r="J58" i="14"/>
  <c r="O58" i="14" s="1"/>
  <c r="J59" i="14"/>
  <c r="O59" i="14" s="1"/>
  <c r="R4" i="13"/>
  <c r="O8" i="13"/>
  <c r="O9" i="13"/>
  <c r="O12" i="13"/>
  <c r="O13" i="13"/>
  <c r="O14" i="13"/>
  <c r="O16" i="13"/>
  <c r="M2" i="13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O15" i="13" s="1"/>
  <c r="M16" i="13"/>
  <c r="J2" i="13"/>
  <c r="O2" i="13" s="1"/>
  <c r="J3" i="13"/>
  <c r="O3" i="13" s="1"/>
  <c r="J4" i="13"/>
  <c r="O4" i="13" s="1"/>
  <c r="J5" i="13"/>
  <c r="O5" i="13" s="1"/>
  <c r="J6" i="13"/>
  <c r="O6" i="13" s="1"/>
  <c r="J7" i="13"/>
  <c r="O7" i="13" s="1"/>
  <c r="J8" i="13"/>
  <c r="J9" i="13"/>
  <c r="J10" i="13"/>
  <c r="O10" i="13" s="1"/>
  <c r="J11" i="13"/>
  <c r="O11" i="13" s="1"/>
  <c r="J12" i="13"/>
  <c r="J13" i="13"/>
  <c r="J14" i="13"/>
  <c r="J15" i="13"/>
  <c r="J16" i="13"/>
  <c r="Q4" i="1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L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I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D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J2" i="24"/>
  <c r="O2" i="24" s="1"/>
  <c r="J3" i="24"/>
  <c r="O3" i="24" s="1"/>
  <c r="J4" i="24"/>
  <c r="O4" i="24" s="1"/>
  <c r="J5" i="24"/>
  <c r="O5" i="24" s="1"/>
  <c r="J6" i="24"/>
  <c r="O6" i="24" s="1"/>
  <c r="J7" i="24"/>
  <c r="J8" i="24"/>
  <c r="J9" i="24"/>
  <c r="O9" i="24" s="1"/>
  <c r="J10" i="24"/>
  <c r="J11" i="24"/>
  <c r="O11" i="24" s="1"/>
  <c r="J12" i="24"/>
  <c r="O12" i="24" s="1"/>
  <c r="J13" i="24"/>
  <c r="O13" i="24" s="1"/>
  <c r="J14" i="24"/>
  <c r="O14" i="24" s="1"/>
  <c r="J15" i="24"/>
  <c r="J16" i="24"/>
  <c r="J17" i="24"/>
  <c r="O17" i="24" s="1"/>
  <c r="J18" i="24"/>
  <c r="J19" i="24"/>
  <c r="O19" i="24" s="1"/>
  <c r="J20" i="24"/>
  <c r="O20" i="24" s="1"/>
  <c r="J21" i="24"/>
  <c r="O21" i="24" s="1"/>
  <c r="J22" i="24"/>
  <c r="O22" i="24" s="1"/>
  <c r="J23" i="24"/>
  <c r="J24" i="24"/>
  <c r="J25" i="24"/>
  <c r="O25" i="24" s="1"/>
  <c r="J26" i="24"/>
  <c r="J27" i="24"/>
  <c r="O27" i="24" s="1"/>
  <c r="J28" i="24"/>
  <c r="O28" i="24" s="1"/>
  <c r="J29" i="24"/>
  <c r="O29" i="24" s="1"/>
  <c r="J30" i="24"/>
  <c r="O30" i="24" s="1"/>
  <c r="J31" i="24"/>
  <c r="J32" i="24"/>
  <c r="J33" i="24"/>
  <c r="O33" i="24" s="1"/>
  <c r="J34" i="24"/>
  <c r="J35" i="24"/>
  <c r="O35" i="24" s="1"/>
  <c r="J36" i="24"/>
  <c r="O36" i="24" s="1"/>
  <c r="J37" i="24"/>
  <c r="O37" i="24" s="1"/>
  <c r="J38" i="24"/>
  <c r="O38" i="24" s="1"/>
  <c r="J39" i="24"/>
  <c r="J40" i="24"/>
  <c r="J41" i="24"/>
  <c r="O41" i="24" s="1"/>
  <c r="J42" i="24"/>
  <c r="J43" i="24"/>
  <c r="O43" i="24" s="1"/>
  <c r="J44" i="24"/>
  <c r="O44" i="24" s="1"/>
  <c r="J45" i="24"/>
  <c r="O45" i="24" s="1"/>
  <c r="J46" i="24"/>
  <c r="O46" i="24" s="1"/>
  <c r="J47" i="24"/>
  <c r="J48" i="24"/>
  <c r="J49" i="24"/>
  <c r="O49" i="24" s="1"/>
  <c r="J50" i="24"/>
  <c r="J51" i="24"/>
  <c r="O51" i="24" s="1"/>
  <c r="J52" i="24"/>
  <c r="O52" i="24" s="1"/>
  <c r="J53" i="24"/>
  <c r="O53" i="24" s="1"/>
  <c r="J54" i="24"/>
  <c r="O54" i="24" s="1"/>
  <c r="J55" i="24"/>
  <c r="J56" i="24"/>
  <c r="J57" i="24"/>
  <c r="O57" i="24" s="1"/>
  <c r="J58" i="24"/>
  <c r="J59" i="24"/>
  <c r="O59" i="24" s="1"/>
  <c r="J60" i="24"/>
  <c r="O60" i="24" s="1"/>
  <c r="J61" i="24"/>
  <c r="O61" i="24" s="1"/>
  <c r="J62" i="24"/>
  <c r="O62" i="24" s="1"/>
  <c r="J63" i="24"/>
  <c r="J64" i="24"/>
  <c r="J65" i="24"/>
  <c r="O65" i="24" s="1"/>
  <c r="J66" i="24"/>
  <c r="J67" i="24"/>
  <c r="O67" i="24" s="1"/>
  <c r="J68" i="24"/>
  <c r="O68" i="24" s="1"/>
  <c r="J69" i="24"/>
  <c r="O69" i="24" s="1"/>
  <c r="J70" i="24"/>
  <c r="O70" i="24" s="1"/>
  <c r="J71" i="24"/>
  <c r="J72" i="24"/>
  <c r="J73" i="24"/>
  <c r="O73" i="24" s="1"/>
  <c r="J74" i="24"/>
  <c r="J75" i="24"/>
  <c r="O75" i="24" s="1"/>
  <c r="J76" i="24"/>
  <c r="O76" i="24" s="1"/>
  <c r="J77" i="24"/>
  <c r="O77" i="24" s="1"/>
  <c r="J78" i="24"/>
  <c r="O78" i="24" s="1"/>
  <c r="J79" i="24"/>
  <c r="J80" i="24"/>
  <c r="J81" i="24"/>
  <c r="O81" i="24" s="1"/>
  <c r="J82" i="24"/>
  <c r="J83" i="24"/>
  <c r="O83" i="24" s="1"/>
  <c r="J84" i="24"/>
  <c r="O84" i="24" s="1"/>
  <c r="J85" i="24"/>
  <c r="O85" i="24" s="1"/>
  <c r="J86" i="24"/>
  <c r="O86" i="24" s="1"/>
  <c r="J87" i="24"/>
  <c r="J88" i="24"/>
  <c r="J89" i="24"/>
  <c r="O89" i="24" s="1"/>
  <c r="J90" i="24"/>
  <c r="J91" i="24"/>
  <c r="O91" i="24" s="1"/>
  <c r="J92" i="24"/>
  <c r="O92" i="24" s="1"/>
  <c r="J93" i="24"/>
  <c r="O93" i="24" s="1"/>
  <c r="J94" i="24"/>
  <c r="O94" i="24" s="1"/>
  <c r="J95" i="24"/>
  <c r="J96" i="24"/>
  <c r="J97" i="24"/>
  <c r="O97" i="24" s="1"/>
  <c r="J98" i="24"/>
  <c r="J99" i="24"/>
  <c r="O99" i="24" s="1"/>
  <c r="J100" i="24"/>
  <c r="O100" i="24" s="1"/>
  <c r="J101" i="24"/>
  <c r="O101" i="24" s="1"/>
  <c r="J102" i="24"/>
  <c r="O102" i="24" s="1"/>
  <c r="J103" i="24"/>
  <c r="J104" i="24"/>
  <c r="J105" i="24"/>
  <c r="O105" i="24" s="1"/>
  <c r="J106" i="24"/>
  <c r="J107" i="24"/>
  <c r="O107" i="24" s="1"/>
  <c r="J108" i="24"/>
  <c r="O108" i="24" s="1"/>
  <c r="J109" i="24"/>
  <c r="O109" i="24" s="1"/>
  <c r="J110" i="24"/>
  <c r="O110" i="24" s="1"/>
  <c r="J111" i="24"/>
  <c r="J112" i="24"/>
  <c r="J113" i="24"/>
  <c r="O113" i="24" s="1"/>
  <c r="J114" i="24"/>
  <c r="J115" i="24"/>
  <c r="O115" i="24" s="1"/>
  <c r="J116" i="24"/>
  <c r="O116" i="24" s="1"/>
  <c r="J117" i="24"/>
  <c r="O117" i="24" s="1"/>
  <c r="J118" i="24"/>
  <c r="O118" i="24" s="1"/>
  <c r="J119" i="24"/>
  <c r="J120" i="24"/>
  <c r="J121" i="24"/>
  <c r="O121" i="24" s="1"/>
  <c r="F2" i="24"/>
  <c r="R4" i="24" s="1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R4" i="23"/>
  <c r="R3" i="23"/>
  <c r="R2" i="23"/>
  <c r="F2" i="23"/>
  <c r="F3" i="23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R4" i="21"/>
  <c r="R3" i="21"/>
  <c r="R2" i="21"/>
  <c r="F2" i="21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2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R4" i="16"/>
  <c r="R3" i="16"/>
  <c r="R2" i="16"/>
  <c r="F2" i="16"/>
  <c r="F3" i="16"/>
  <c r="F4" i="16"/>
  <c r="F5" i="16"/>
  <c r="F6" i="16"/>
  <c r="F7" i="16"/>
  <c r="F8" i="16"/>
  <c r="F9" i="16"/>
  <c r="R3" i="15"/>
  <c r="R4" i="15"/>
  <c r="F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8" i="15"/>
  <c r="F29" i="15"/>
  <c r="F30" i="15"/>
  <c r="F32" i="15"/>
  <c r="F33" i="15"/>
  <c r="F34" i="15"/>
  <c r="F35" i="15"/>
  <c r="F36" i="15"/>
  <c r="F37" i="15"/>
  <c r="F38" i="15"/>
  <c r="F39" i="15"/>
  <c r="F40" i="15"/>
  <c r="F41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9" i="15"/>
  <c r="F60" i="15"/>
  <c r="F61" i="15"/>
  <c r="F62" i="15"/>
  <c r="F63" i="15"/>
  <c r="F64" i="15"/>
  <c r="F65" i="15"/>
  <c r="R3" i="14"/>
  <c r="R2" i="14"/>
  <c r="F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M31" i="34" l="1"/>
  <c r="M23" i="34"/>
  <c r="M15" i="34"/>
  <c r="M7" i="34"/>
  <c r="M5" i="34"/>
  <c r="M30" i="34"/>
  <c r="M22" i="34"/>
  <c r="M14" i="34"/>
  <c r="M27" i="34"/>
  <c r="M19" i="34"/>
  <c r="M11" i="34"/>
  <c r="M3" i="34"/>
  <c r="M28" i="34"/>
  <c r="M20" i="34"/>
  <c r="M12" i="34"/>
  <c r="M33" i="34"/>
  <c r="M25" i="34"/>
  <c r="M17" i="34"/>
  <c r="M9" i="34"/>
  <c r="N4" i="27"/>
  <c r="N83" i="27"/>
  <c r="N78" i="27"/>
  <c r="N67" i="27"/>
  <c r="N59" i="27"/>
  <c r="N51" i="27"/>
  <c r="N43" i="27"/>
  <c r="N35" i="27"/>
  <c r="N27" i="27"/>
  <c r="N19" i="27"/>
  <c r="N11" i="27"/>
  <c r="N3" i="27"/>
  <c r="N82" i="27"/>
  <c r="N74" i="27"/>
  <c r="N66" i="27"/>
  <c r="N58" i="27"/>
  <c r="N50" i="27"/>
  <c r="N42" i="27"/>
  <c r="N34" i="27"/>
  <c r="N26" i="27"/>
  <c r="N18" i="27"/>
  <c r="N10" i="27"/>
  <c r="N2" i="27"/>
  <c r="Q4" i="27" s="1"/>
  <c r="N75" i="27"/>
  <c r="N69" i="27"/>
  <c r="N61" i="27"/>
  <c r="N53" i="27"/>
  <c r="N45" i="27"/>
  <c r="N37" i="27"/>
  <c r="N29" i="27"/>
  <c r="N21" i="27"/>
  <c r="N13" i="27"/>
  <c r="R4" i="14"/>
  <c r="R2" i="24"/>
  <c r="R3" i="24"/>
  <c r="Q3" i="11"/>
  <c r="Q2" i="11"/>
  <c r="R2" i="15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2" i="1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2" i="9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" i="6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D36" i="2"/>
  <c r="D17" i="2"/>
  <c r="D13" i="2"/>
  <c r="D26" i="2"/>
  <c r="D39" i="2"/>
  <c r="D18" i="2"/>
  <c r="D25" i="2"/>
  <c r="D37" i="2"/>
  <c r="D21" i="2"/>
  <c r="D40" i="2"/>
  <c r="D44" i="2"/>
  <c r="D4" i="2"/>
  <c r="D9" i="2"/>
  <c r="D41" i="2"/>
  <c r="D19" i="2"/>
  <c r="D6" i="2"/>
  <c r="D48" i="2"/>
  <c r="D7" i="2"/>
  <c r="D14" i="2"/>
  <c r="D46" i="2"/>
  <c r="D28" i="2"/>
  <c r="D24" i="2"/>
  <c r="D35" i="2"/>
  <c r="D22" i="2"/>
  <c r="D27" i="2"/>
  <c r="D10" i="2"/>
  <c r="D52" i="2"/>
  <c r="D50" i="2"/>
  <c r="D32" i="2"/>
  <c r="D23" i="2"/>
  <c r="D42" i="2"/>
  <c r="D29" i="2"/>
  <c r="D53" i="2"/>
  <c r="D51" i="2"/>
  <c r="D30" i="2"/>
  <c r="D34" i="2"/>
  <c r="D5" i="2"/>
  <c r="D43" i="2"/>
  <c r="D20" i="2"/>
  <c r="D31" i="2"/>
  <c r="D16" i="2"/>
  <c r="D38" i="2"/>
  <c r="D45" i="2"/>
  <c r="D12" i="2"/>
  <c r="D15" i="2"/>
  <c r="D11" i="2"/>
  <c r="D33" i="2"/>
  <c r="D54" i="2"/>
  <c r="D49" i="2"/>
  <c r="D8" i="2"/>
  <c r="D47" i="2"/>
  <c r="R3" i="13" l="1"/>
  <c r="R2" i="13"/>
</calcChain>
</file>

<file path=xl/sharedStrings.xml><?xml version="1.0" encoding="utf-8"?>
<sst xmlns="http://schemas.openxmlformats.org/spreadsheetml/2006/main" count="12709" uniqueCount="3170">
  <si>
    <t>Number of unique victims of child abuse in the United States in 2020, by state</t>
  </si>
  <si>
    <t>2020</t>
  </si>
  <si>
    <t>Child abuse in the U.S. - reported victims 2020, by state</t>
  </si>
  <si>
    <t>Texas</t>
  </si>
  <si>
    <t>California</t>
  </si>
  <si>
    <t>New York</t>
  </si>
  <si>
    <t>Illinois</t>
  </si>
  <si>
    <t>Florida</t>
  </si>
  <si>
    <t>Michigan</t>
  </si>
  <si>
    <t>Ohio</t>
  </si>
  <si>
    <t>Indiana</t>
  </si>
  <si>
    <t>Massachusetts</t>
  </si>
  <si>
    <t>North Carolina</t>
  </si>
  <si>
    <t>Kentucky</t>
  </si>
  <si>
    <t>Oklahoma</t>
  </si>
  <si>
    <t>South Carolina</t>
  </si>
  <si>
    <t>Alabama</t>
  </si>
  <si>
    <t>Colorado</t>
  </si>
  <si>
    <t>Oregon</t>
  </si>
  <si>
    <t>Iowa</t>
  </si>
  <si>
    <t>Arizona</t>
  </si>
  <si>
    <t>Utah</t>
  </si>
  <si>
    <t>Arkansas</t>
  </si>
  <si>
    <t>Georgia</t>
  </si>
  <si>
    <t>Tennessee</t>
  </si>
  <si>
    <t>Mississippi</t>
  </si>
  <si>
    <t>Maryland</t>
  </si>
  <si>
    <t>New Mexico</t>
  </si>
  <si>
    <t>Louisiana</t>
  </si>
  <si>
    <t>Minnesota</t>
  </si>
  <si>
    <t>Connecticut</t>
  </si>
  <si>
    <t>West Virginia</t>
  </si>
  <si>
    <t>Virginia</t>
  </si>
  <si>
    <t>Nevada</t>
  </si>
  <si>
    <t>Maine</t>
  </si>
  <si>
    <t>Pennsylvania</t>
  </si>
  <si>
    <t>Missouri</t>
  </si>
  <si>
    <t>Wisconsin</t>
  </si>
  <si>
    <t>Washington</t>
  </si>
  <si>
    <t>Montana</t>
  </si>
  <si>
    <t>New Jersey</t>
  </si>
  <si>
    <t>Alaska</t>
  </si>
  <si>
    <t>Rhode Island</t>
  </si>
  <si>
    <t>Kansas</t>
  </si>
  <si>
    <t>Nebraska</t>
  </si>
  <si>
    <t>Idaho</t>
  </si>
  <si>
    <t>North Dakota</t>
  </si>
  <si>
    <t>South Dakota</t>
  </si>
  <si>
    <t>District of Columbia</t>
  </si>
  <si>
    <t>Hawaii</t>
  </si>
  <si>
    <t>Delaware</t>
  </si>
  <si>
    <t>New Hampshire</t>
  </si>
  <si>
    <t>Wyoming</t>
  </si>
  <si>
    <t>Vermont</t>
  </si>
  <si>
    <t>Population</t>
  </si>
  <si>
    <t>Proportion</t>
  </si>
  <si>
    <t>State</t>
  </si>
  <si>
    <t>Abused</t>
  </si>
  <si>
    <t>Republican/lean Rep.</t>
  </si>
  <si>
    <t>No lean</t>
  </si>
  <si>
    <t>Democrat/lean Dem.</t>
  </si>
  <si>
    <t>Sample size</t>
  </si>
  <si>
    <t>None</t>
  </si>
  <si>
    <t>LocationType</t>
  </si>
  <si>
    <t>Location</t>
  </si>
  <si>
    <t>TimeFrame</t>
  </si>
  <si>
    <t>DataFormat</t>
  </si>
  <si>
    <t>Data</t>
  </si>
  <si>
    <t>Column1</t>
  </si>
  <si>
    <t>County</t>
  </si>
  <si>
    <t>Anderson</t>
  </si>
  <si>
    <t>Percent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</si>
  <si>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</si>
  <si>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</si>
  <si>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</si>
  <si>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</si>
  <si>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</si>
  <si>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</si>
  <si>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</si>
  <si>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</si>
  <si>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</si>
  <si>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</si>
  <si>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</si>
  <si>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</si>
  <si>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</si>
  <si>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</si>
  <si>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</si>
  <si>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</si>
  <si>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</si>
  <si>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</si>
  <si>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</si>
  <si>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</si>
  <si>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</si>
  <si>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</si>
  <si>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</si>
  <si>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</si>
  <si>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</si>
  <si>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</si>
  <si>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</si>
  <si>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</si>
  <si>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</si>
  <si>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</si>
  <si>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</si>
  <si>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</si>
  <si>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</si>
  <si>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</si>
  <si>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</si>
  <si>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</si>
  <si>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</si>
  <si>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</si>
  <si>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</si>
  <si>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</si>
  <si>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</si>
  <si>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</si>
  <si>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</si>
  <si>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</si>
  <si>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</si>
  <si>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</si>
  <si>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</si>
  <si>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</si>
  <si>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</si>
  <si>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</si>
  <si>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</si>
  <si>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</si>
  <si>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</si>
  <si>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</si>
  <si>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</si>
  <si>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</si>
  <si>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</si>
  <si>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</si>
  <si>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</si>
  <si>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</si>
  <si>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</si>
  <si>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</si>
  <si>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</si>
  <si>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</si>
  <si>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</si>
  <si>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</si>
  <si>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</si>
  <si>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</si>
  <si>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</si>
  <si>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</si>
  <si>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</si>
  <si>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</si>
  <si>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</si>
  <si>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</si>
  <si>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</si>
  <si>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</si>
  <si>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</si>
  <si>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</si>
  <si>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</si>
  <si>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</si>
  <si>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</si>
  <si>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</si>
  <si>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</si>
  <si>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</si>
  <si>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</si>
  <si>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</si>
  <si>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</si>
  <si>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</si>
  <si>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Wayne</t>
  </si>
  <si>
    <t>Weakley</t>
  </si>
  <si>
    <t>White</t>
  </si>
  <si>
    <t>Williamson</t>
  </si>
  <si>
    <t>Wilson</t>
  </si>
  <si>
    <t>COUNTY</t>
  </si>
  <si>
    <t>TRUMP VOTES</t>
  </si>
  <si>
    <t>TRUMP PCT</t>
  </si>
  <si>
    <t>BIDEN VOTES</t>
  </si>
  <si>
    <t>BIDEN PCT</t>
  </si>
  <si>
    <t>Anderson County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</si>
  <si>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</si>
  <si>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</si>
  <si>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</si>
  <si>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</si>
  <si>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</si>
  <si>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</si>
  <si>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</si>
  <si>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</si>
  <si>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</si>
  <si>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</si>
  <si>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</si>
  <si>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</si>
  <si>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</si>
  <si>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</si>
  <si>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</si>
  <si>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</si>
  <si>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</si>
  <si>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</si>
  <si>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</si>
  <si>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</si>
  <si>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</si>
  <si>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</si>
  <si>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</si>
  <si>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</si>
  <si>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</si>
  <si>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</si>
  <si>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</si>
  <si>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</si>
  <si>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</si>
  <si>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</si>
  <si>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</si>
  <si>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</si>
  <si>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</si>
  <si>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</si>
  <si>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</si>
  <si>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</si>
  <si>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</si>
  <si>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</si>
  <si>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</si>
  <si>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</si>
  <si>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</si>
  <si>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</si>
  <si>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</si>
  <si>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</si>
  <si>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</si>
  <si>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</si>
  <si>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</si>
  <si>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</si>
  <si>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</si>
  <si>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</si>
  <si>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</si>
  <si>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</si>
  <si>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</si>
  <si>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</si>
  <si>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</si>
  <si>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</si>
  <si>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</si>
  <si>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</si>
  <si>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</si>
  <si>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</si>
  <si>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</si>
  <si>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</si>
  <si>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</si>
  <si>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</si>
  <si>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</si>
  <si>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</si>
  <si>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</si>
  <si>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</si>
  <si>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</si>
  <si>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</si>
  <si>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</si>
  <si>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</si>
  <si>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</si>
  <si>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</si>
  <si>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</si>
  <si>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</si>
  <si>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</si>
  <si>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</si>
  <si>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</si>
  <si>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</si>
  <si>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</si>
  <si>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</si>
  <si>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</si>
  <si>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</si>
  <si>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</si>
  <si>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</si>
  <si>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</si>
  <si>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</si>
  <si>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</si>
  <si>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</si>
  <si>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</si>
  <si>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</si>
  <si>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</si>
  <si>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Shelby County</t>
  </si>
  <si>
    <t>https://www.politico.com/2020-election/results/tennessee/</t>
  </si>
  <si>
    <t>https://datacenter.kidscount.org/data/tables/3023-reported-child-abuse-cases#detailed/5/6420-6514/false/2048,574,1729,37,871,870,573,869,36,868/any/13283,12701</t>
  </si>
  <si>
    <t>Correlation</t>
  </si>
  <si>
    <t>Baker County</t>
  </si>
  <si>
    <t>Clackamas County</t>
  </si>
  <si>
    <t>Clatsop County</t>
  </si>
  <si>
    <t>Columbia County</t>
  </si>
  <si>
    <t>Coos County</t>
  </si>
  <si>
    <t>Crook County</t>
  </si>
  <si>
    <t>Curry County</t>
  </si>
  <si>
    <t>Deschutes County</t>
  </si>
  <si>
    <t>Douglas County</t>
  </si>
  <si>
    <t>Gilliam County</t>
  </si>
  <si>
    <t>Grant County</t>
  </si>
  <si>
    <t>Harney County</t>
  </si>
  <si>
    <t>Hood River County</t>
  </si>
  <si>
    <t>Josephine County</t>
  </si>
  <si>
    <t>Klamath County</t>
  </si>
  <si>
    <t>Lane County</t>
  </si>
  <si>
    <t>Linn County</t>
  </si>
  <si>
    <t>Malheur County</t>
  </si>
  <si>
    <t>Morrow County</t>
  </si>
  <si>
    <t>Multnomah County</t>
  </si>
  <si>
    <t>Sherman County</t>
  </si>
  <si>
    <t>Tillamook County</t>
  </si>
  <si>
    <t>Umatilla County</t>
  </si>
  <si>
    <t>Wallowa County</t>
  </si>
  <si>
    <t>Wasco County</t>
  </si>
  <si>
    <t>Wheeler County</t>
  </si>
  <si>
    <t>Yamhill County</t>
  </si>
  <si>
    <t>Rate per 1,000</t>
  </si>
  <si>
    <t>Yamhill</t>
  </si>
  <si>
    <t>Number</t>
  </si>
  <si>
    <t>Wheeler</t>
  </si>
  <si>
    <t>Wasco</t>
  </si>
  <si>
    <t>Wallowa</t>
  </si>
  <si>
    <t>Umatilla</t>
  </si>
  <si>
    <t>Tillamook</t>
  </si>
  <si>
    <t>Sherman</t>
  </si>
  <si>
    <t>Multnomah</t>
  </si>
  <si>
    <t>Morrow</t>
  </si>
  <si>
    <t>Malheur</t>
  </si>
  <si>
    <t>Linn</t>
  </si>
  <si>
    <t>Lane</t>
  </si>
  <si>
    <t>Klamath</t>
  </si>
  <si>
    <t>Josephine</t>
  </si>
  <si>
    <t>Hood River</t>
  </si>
  <si>
    <t>Harney</t>
  </si>
  <si>
    <t>Grant</t>
  </si>
  <si>
    <t>Gilliam</t>
  </si>
  <si>
    <t>Douglas</t>
  </si>
  <si>
    <t>Deschutes</t>
  </si>
  <si>
    <t>Curry</t>
  </si>
  <si>
    <t>Crook</t>
  </si>
  <si>
    <t>Coos</t>
  </si>
  <si>
    <t>Columbia</t>
  </si>
  <si>
    <t>Clatsop</t>
  </si>
  <si>
    <t>Clackamas</t>
  </si>
  <si>
    <t>Baker</t>
  </si>
  <si>
    <t>Normalized</t>
  </si>
  <si>
    <t>Trump</t>
  </si>
  <si>
    <t>Biden</t>
  </si>
  <si>
    <t>Perc. Abused
(Same-Age Population)</t>
  </si>
  <si>
    <t>p-Value</t>
  </si>
  <si>
    <t>at p-Value</t>
  </si>
  <si>
    <t>at p-value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</si>
  <si>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</si>
  <si>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</si>
  <si>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</si>
  <si>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</si>
  <si>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</si>
  <si>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</si>
  <si>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</si>
  <si>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</si>
  <si>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</si>
  <si>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</si>
  <si>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</si>
  <si>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</si>
  <si>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</si>
  <si>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</si>
  <si>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</si>
  <si>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</si>
  <si>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</si>
  <si>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</si>
  <si>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</si>
  <si>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</si>
  <si>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</si>
  <si>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</si>
  <si>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</si>
  <si>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</si>
  <si>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</si>
  <si>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</si>
  <si>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</si>
  <si>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</si>
  <si>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</si>
  <si>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</si>
  <si>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</si>
  <si>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</si>
  <si>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</si>
  <si>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</si>
  <si>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</si>
  <si>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</si>
  <si>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</si>
  <si>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</si>
  <si>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</si>
  <si>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</si>
  <si>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</si>
  <si>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</si>
  <si>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</si>
  <si>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</si>
  <si>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</si>
  <si>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</si>
  <si>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</si>
  <si>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</si>
  <si>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</si>
  <si>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</si>
  <si>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</si>
  <si>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</si>
  <si>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</si>
  <si>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</si>
  <si>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</si>
  <si>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</si>
  <si>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</si>
  <si>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</si>
  <si>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</si>
  <si>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</si>
  <si>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</si>
  <si>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</si>
  <si>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</si>
  <si>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</si>
  <si>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</si>
  <si>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</si>
  <si>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</si>
  <si>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</si>
  <si>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</si>
  <si>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</si>
  <si>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</si>
  <si>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Fisher County</t>
  </si>
  <si>
    <t>Floyd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</si>
  <si>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</si>
  <si>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</si>
  <si>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</si>
  <si>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</si>
  <si>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</si>
  <si>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</si>
  <si>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</si>
  <si>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</si>
  <si>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</si>
  <si>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</si>
  <si>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</si>
  <si>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</si>
  <si>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</si>
  <si>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</si>
  <si>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</si>
  <si>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</si>
  <si>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</si>
  <si>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</si>
  <si>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Hansford County</t>
  </si>
  <si>
    <t>Harris County</t>
  </si>
  <si>
    <t>Harrison County</t>
  </si>
  <si>
    <t>Hartley County</t>
  </si>
  <si>
    <t>Haskell County</t>
  </si>
  <si>
    <t>Hays County</t>
  </si>
  <si>
    <t>Hemphill County</t>
  </si>
  <si>
    <t>Hidalgo County</t>
  </si>
  <si>
    <t>Hill County</t>
  </si>
  <si>
    <t>Hockley County</t>
  </si>
  <si>
    <t>Hood County</t>
  </si>
  <si>
    <t>Hopkins County</t>
  </si>
  <si>
    <t>Howard County</t>
  </si>
  <si>
    <t>Hudspeth County</t>
  </si>
  <si>
    <t>Hunt County</t>
  </si>
  <si>
    <t>Hutchinson County</t>
  </si>
  <si>
    <t>Irion County</t>
  </si>
  <si>
    <t>Jack County</t>
  </si>
  <si>
    <t>Jasper County</t>
  </si>
  <si>
    <t>Jeff Davis County</t>
  </si>
  <si>
    <t>Jim Hogg County</t>
  </si>
  <si>
    <t>Jim Wells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</si>
  <si>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</si>
  <si>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</si>
  <si>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</si>
  <si>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</si>
  <si>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</si>
  <si>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</si>
  <si>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</si>
  <si>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</si>
  <si>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</si>
  <si>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</si>
  <si>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</si>
  <si>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Lamar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</si>
  <si>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</si>
  <si>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</si>
  <si>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</si>
  <si>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</si>
  <si>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</si>
  <si>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</si>
  <si>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</si>
  <si>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</si>
  <si>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</si>
  <si>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</si>
  <si>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</si>
  <si>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</si>
  <si>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</si>
  <si>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Martin County</t>
  </si>
  <si>
    <t>Mason County</t>
  </si>
  <si>
    <t>Matagorda County</t>
  </si>
  <si>
    <t>Maverick County</t>
  </si>
  <si>
    <t>McCulloch County</t>
  </si>
  <si>
    <t>McLennan County</t>
  </si>
  <si>
    <t>McMullen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</si>
  <si>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</si>
  <si>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</si>
  <si>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</si>
  <si>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</si>
  <si>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</si>
  <si>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</si>
  <si>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</si>
  <si>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Morris County</t>
  </si>
  <si>
    <t>Motley County</t>
  </si>
  <si>
    <t>Nacogdoches County</t>
  </si>
  <si>
    <t>Navarro County</t>
  </si>
  <si>
    <t>Newton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</si>
  <si>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</si>
  <si>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</si>
  <si>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</si>
  <si>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</si>
  <si>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</si>
  <si>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</si>
  <si>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</si>
  <si>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</si>
  <si>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</si>
  <si>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</si>
  <si>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</si>
  <si>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</si>
  <si>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</si>
  <si>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</si>
  <si>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</si>
  <si>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</si>
  <si>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</si>
  <si>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</si>
  <si>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</si>
  <si>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</si>
  <si>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</si>
  <si>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</si>
  <si>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</si>
  <si>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</si>
  <si>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</si>
  <si>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</si>
  <si>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</si>
  <si>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</si>
  <si>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</si>
  <si>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</si>
  <si>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</si>
  <si>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</si>
  <si>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</si>
  <si>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</si>
  <si>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</si>
  <si>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</si>
  <si>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</si>
  <si>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</si>
  <si>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</si>
  <si>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</si>
  <si>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</si>
  <si>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</si>
  <si>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</si>
  <si>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</si>
  <si>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</si>
  <si>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</si>
  <si>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</si>
  <si>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</si>
  <si>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</si>
  <si>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</si>
  <si>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</si>
  <si>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</si>
  <si>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</si>
  <si>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</si>
  <si>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</si>
  <si>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</si>
  <si>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Webb County</t>
  </si>
  <si>
    <t>Wharton County</t>
  </si>
  <si>
    <t>Wichita County</t>
  </si>
  <si>
    <t>Wilbarger County</t>
  </si>
  <si>
    <t>Willacy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</si>
  <si>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</si>
  <si>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</si>
  <si>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</si>
  <si>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</si>
  <si>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</si>
  <si>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</si>
  <si>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</si>
  <si>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Lamb County</t>
  </si>
  <si>
    <t>Nolan County</t>
  </si>
  <si>
    <t>Rate per 1,000 children ages 0-17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</si>
  <si>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</si>
  <si>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</si>
  <si>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</si>
  <si>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</si>
  <si>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</si>
  <si>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</si>
  <si>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</si>
  <si>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</si>
  <si>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</si>
  <si>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</si>
  <si>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</si>
  <si>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</si>
  <si>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</si>
  <si>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</si>
  <si>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</si>
  <si>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</si>
  <si>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</si>
  <si>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</si>
  <si>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</si>
  <si>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</si>
  <si>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</si>
  <si>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</si>
  <si>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</si>
  <si>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</si>
  <si>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</si>
  <si>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</si>
  <si>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</si>
  <si>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</si>
  <si>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</si>
  <si>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</si>
  <si>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</si>
  <si>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</si>
  <si>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</si>
  <si>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</si>
  <si>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</si>
  <si>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</si>
  <si>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</si>
  <si>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</si>
  <si>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</si>
  <si>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</si>
  <si>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</si>
  <si>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</si>
  <si>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</si>
  <si>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</si>
  <si>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</si>
  <si>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</si>
  <si>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</si>
  <si>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</si>
  <si>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</si>
  <si>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</si>
  <si>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</si>
  <si>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</si>
  <si>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</si>
  <si>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</si>
  <si>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</si>
  <si>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</si>
  <si>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</si>
  <si>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</si>
  <si>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</si>
  <si>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</si>
  <si>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</si>
  <si>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</si>
  <si>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</si>
  <si>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</si>
  <si>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</si>
  <si>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</si>
  <si>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</si>
  <si>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</si>
  <si>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</si>
  <si>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</si>
  <si>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Fisher</t>
  </si>
  <si>
    <t>Floyd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</si>
  <si>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</si>
  <si>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</si>
  <si>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</si>
  <si>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</si>
  <si>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</si>
  <si>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</si>
  <si>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</si>
  <si>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</si>
  <si>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</si>
  <si>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</si>
  <si>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</si>
  <si>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</si>
  <si>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</si>
  <si>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</si>
  <si>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</si>
  <si>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</si>
  <si>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</si>
  <si>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</si>
  <si>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Hansford</t>
  </si>
  <si>
    <t>Harris</t>
  </si>
  <si>
    <t>Harrison</t>
  </si>
  <si>
    <t>Hartley</t>
  </si>
  <si>
    <t>Haskell</t>
  </si>
  <si>
    <t>Hays</t>
  </si>
  <si>
    <t>Hemphill</t>
  </si>
  <si>
    <t>Hidalgo</t>
  </si>
  <si>
    <t>Hill</t>
  </si>
  <si>
    <t>Hockley</t>
  </si>
  <si>
    <t>Hood</t>
  </si>
  <si>
    <t>Hopkins</t>
  </si>
  <si>
    <t>Howard</t>
  </si>
  <si>
    <t>Hudspeth</t>
  </si>
  <si>
    <t>Hunt</t>
  </si>
  <si>
    <t>Hutchinson</t>
  </si>
  <si>
    <t>Irion</t>
  </si>
  <si>
    <t>Jack</t>
  </si>
  <si>
    <t>Jasper</t>
  </si>
  <si>
    <t>Jeff Davis</t>
  </si>
  <si>
    <t>Jim Hogg</t>
  </si>
  <si>
    <t>Jim Wells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</si>
  <si>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</si>
  <si>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</si>
  <si>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</si>
  <si>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</si>
  <si>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</si>
  <si>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</si>
  <si>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</si>
  <si>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</si>
  <si>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</si>
  <si>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</si>
  <si>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</si>
  <si>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</si>
  <si>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</si>
  <si>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</si>
  <si>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</si>
  <si>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</si>
  <si>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</si>
  <si>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</si>
  <si>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</si>
  <si>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</si>
  <si>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</si>
  <si>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</si>
  <si>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</si>
  <si>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</si>
  <si>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</si>
  <si>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</si>
  <si>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</si>
  <si>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</si>
  <si>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</si>
  <si>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</si>
  <si>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</si>
  <si>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</si>
  <si>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</si>
  <si>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</si>
  <si>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</si>
  <si>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</si>
  <si>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</si>
  <si>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</si>
  <si>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</si>
  <si>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</si>
  <si>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</si>
  <si>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</si>
  <si>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</si>
  <si>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</si>
  <si>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</si>
  <si>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</si>
  <si>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</si>
  <si>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</si>
  <si>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</si>
  <si>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</si>
  <si>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</si>
  <si>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</si>
  <si>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</si>
  <si>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</si>
  <si>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</si>
  <si>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</si>
  <si>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</si>
  <si>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</si>
  <si>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</si>
  <si>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</si>
  <si>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</si>
  <si>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</si>
  <si>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</si>
  <si>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</si>
  <si>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</si>
  <si>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</si>
  <si>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</si>
  <si>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</si>
  <si>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</si>
  <si>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</si>
  <si>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</si>
  <si>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</si>
  <si>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</si>
  <si>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</si>
  <si>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</si>
  <si>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</si>
  <si>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</si>
  <si>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</si>
  <si>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</si>
  <si>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</si>
  <si>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</si>
  <si>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</si>
  <si>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</si>
  <si>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</si>
  <si>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</si>
  <si>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</si>
  <si>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</si>
  <si>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</si>
  <si>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</si>
  <si>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</si>
  <si>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</si>
  <si>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</si>
  <si>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</si>
  <si>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</si>
  <si>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</si>
  <si>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</si>
  <si>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</si>
  <si>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</si>
  <si>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</si>
  <si>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</si>
  <si>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</si>
  <si>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</si>
  <si>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</si>
  <si>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</si>
  <si>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Wichita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</si>
  <si>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</si>
  <si>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</si>
  <si>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</si>
  <si>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</si>
  <si>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</si>
  <si>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</si>
  <si>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</si>
  <si>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</si>
  <si>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</si>
  <si>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Atlantic County</t>
  </si>
  <si>
    <t>Bergen County</t>
  </si>
  <si>
    <t>Burlington County</t>
  </si>
  <si>
    <t>Camden County</t>
  </si>
  <si>
    <t>Cape May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</si>
  <si>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</si>
  <si>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</si>
  <si>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</si>
  <si>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</si>
  <si>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</si>
  <si>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</si>
  <si>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</si>
  <si>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Ocean County</t>
  </si>
  <si>
    <t>Passaic County</t>
  </si>
  <si>
    <t>Salem County</t>
  </si>
  <si>
    <t>Somerset County</t>
  </si>
  <si>
    <t>Sussex County</t>
  </si>
  <si>
    <t>Atlantic</t>
  </si>
  <si>
    <t>Rate</t>
  </si>
  <si>
    <t>Bergen</t>
  </si>
  <si>
    <t>Burlington</t>
  </si>
  <si>
    <t>Camden</t>
  </si>
  <si>
    <t>Cape May</t>
  </si>
  <si>
    <t>Essex</t>
  </si>
  <si>
    <t>Gloucester</t>
  </si>
  <si>
    <t>Hudson</t>
  </si>
  <si>
    <t>Hunterdon</t>
  </si>
  <si>
    <t>Mercer</t>
  </si>
  <si>
    <t>Middlesex</t>
  </si>
  <si>
    <t>Monmouth</t>
  </si>
  <si>
    <t>Ocean</t>
  </si>
  <si>
    <t>Passaic</t>
  </si>
  <si>
    <t>Salem</t>
  </si>
  <si>
    <t>Somerset</t>
  </si>
  <si>
    <t>Sussex</t>
  </si>
  <si>
    <t>Elmore County</t>
  </si>
  <si>
    <t>Normalized B</t>
  </si>
  <si>
    <t>Lean</t>
  </si>
  <si>
    <t>Column2</t>
  </si>
  <si>
    <t>Column3</t>
  </si>
  <si>
    <t>Barbour County</t>
  </si>
  <si>
    <t>Berkeley County</t>
  </si>
  <si>
    <t>Boone County</t>
  </si>
  <si>
    <t>Braxton County</t>
  </si>
  <si>
    <t>Brooke County</t>
  </si>
  <si>
    <t>Cabell County</t>
  </si>
  <si>
    <t>Doddridge County</t>
  </si>
  <si>
    <t>Gilmer County</t>
  </si>
  <si>
    <t>Greenbrier County</t>
  </si>
  <si>
    <t>Hampshire County</t>
  </si>
  <si>
    <t>Hardy County</t>
  </si>
  <si>
    <t>Kanawha County</t>
  </si>
  <si>
    <t>Logan County</t>
  </si>
  <si>
    <t>McDowell County</t>
  </si>
  <si>
    <t>Mineral County</t>
  </si>
  <si>
    <t>Mingo County</t>
  </si>
  <si>
    <t>Monongalia County</t>
  </si>
  <si>
    <t>Nicholas County</t>
  </si>
  <si>
    <t>Ohio County</t>
  </si>
  <si>
    <t>Pendleton County</t>
  </si>
  <si>
    <t>Pleasants County</t>
  </si>
  <si>
    <t>Pocahontas County</t>
  </si>
  <si>
    <t>Preston County</t>
  </si>
  <si>
    <t>Raleigh County</t>
  </si>
  <si>
    <t>Randolph County</t>
  </si>
  <si>
    <t>Ritchie County</t>
  </si>
  <si>
    <t>Summers County</t>
  </si>
  <si>
    <t>Tucker County</t>
  </si>
  <si>
    <t>Webster County</t>
  </si>
  <si>
    <t>Wetzel County</t>
  </si>
  <si>
    <t>Wirt County</t>
  </si>
  <si>
    <t>Wyoming County</t>
  </si>
  <si>
    <t>Barbour</t>
  </si>
  <si>
    <t>Berkeley</t>
  </si>
  <si>
    <t>Boone</t>
  </si>
  <si>
    <t>Braxton</t>
  </si>
  <si>
    <t>Brooke</t>
  </si>
  <si>
    <t>Cabell</t>
  </si>
  <si>
    <t>Doddridge</t>
  </si>
  <si>
    <t>Gilmer</t>
  </si>
  <si>
    <t>Greenbrier</t>
  </si>
  <si>
    <t>Hampshire</t>
  </si>
  <si>
    <t>Hardy</t>
  </si>
  <si>
    <t>Kanawha</t>
  </si>
  <si>
    <t>Logan</t>
  </si>
  <si>
    <t>McDowell</t>
  </si>
  <si>
    <t>Mineral</t>
  </si>
  <si>
    <t>Mingo</t>
  </si>
  <si>
    <t>Monongalia</t>
  </si>
  <si>
    <t>Nicholas</t>
  </si>
  <si>
    <t>Pendleton</t>
  </si>
  <si>
    <t>Pleasants</t>
  </si>
  <si>
    <t>Pocahontas</t>
  </si>
  <si>
    <t>Preston</t>
  </si>
  <si>
    <t>Raleigh</t>
  </si>
  <si>
    <t>Randolph</t>
  </si>
  <si>
    <t>Ritchie</t>
  </si>
  <si>
    <t>Summers</t>
  </si>
  <si>
    <t>Tucker</t>
  </si>
  <si>
    <t>Webster</t>
  </si>
  <si>
    <t>Wetzel</t>
  </si>
  <si>
    <t>Wirt</t>
  </si>
  <si>
    <t>B Normal</t>
  </si>
  <si>
    <t>T Normal</t>
  </si>
  <si>
    <t>Autauga</t>
  </si>
  <si>
    <t>Baldwin</t>
  </si>
  <si>
    <t>Bibb</t>
  </si>
  <si>
    <t>Bullock</t>
  </si>
  <si>
    <t>Butler</t>
  </si>
  <si>
    <t>Chilton</t>
  </si>
  <si>
    <t>Choctaw</t>
  </si>
  <si>
    <t>Clarke</t>
  </si>
  <si>
    <t>Cleburne</t>
  </si>
  <si>
    <t>Colbert</t>
  </si>
  <si>
    <t>Conecuh</t>
  </si>
  <si>
    <t>Coosa</t>
  </si>
  <si>
    <t>Covington</t>
  </si>
  <si>
    <t>Crenshaw</t>
  </si>
  <si>
    <t>Cullman</t>
  </si>
  <si>
    <t>Dale</t>
  </si>
  <si>
    <t>Elmore</t>
  </si>
  <si>
    <t>Escambia</t>
  </si>
  <si>
    <t>Etowah</t>
  </si>
  <si>
    <t>Geneva</t>
  </si>
  <si>
    <t>Lowndes</t>
  </si>
  <si>
    <t>Marengo</t>
  </si>
  <si>
    <t>Mobile</t>
  </si>
  <si>
    <t>Pickens</t>
  </si>
  <si>
    <t>Pike</t>
  </si>
  <si>
    <t>Russell</t>
  </si>
  <si>
    <t>St. Clair</t>
  </si>
  <si>
    <t>Sumter</t>
  </si>
  <si>
    <t>Talladega</t>
  </si>
  <si>
    <t>Tallapoosa</t>
  </si>
  <si>
    <t>Tuscaloosa</t>
  </si>
  <si>
    <t>Wilcox</t>
  </si>
  <si>
    <t>Winston</t>
  </si>
  <si>
    <t>Autauga County</t>
  </si>
  <si>
    <t>Baldwin County</t>
  </si>
  <si>
    <t>Bibb County</t>
  </si>
  <si>
    <t>Bullock County</t>
  </si>
  <si>
    <t>Butler County</t>
  </si>
  <si>
    <t>Chilton County</t>
  </si>
  <si>
    <t>Choctaw County</t>
  </si>
  <si>
    <t>Clarke County</t>
  </si>
  <si>
    <t>Cleburne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</si>
  <si>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</si>
  <si>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</si>
  <si>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</si>
  <si>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</si>
  <si>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</si>
  <si>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</si>
  <si>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</si>
  <si>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Escambia County</t>
  </si>
  <si>
    <t>Etowah County</t>
  </si>
  <si>
    <t>Geneva County</t>
  </si>
  <si>
    <t>Lowndes County</t>
  </si>
  <si>
    <t>Marengo County</t>
  </si>
  <si>
    <t>Mobile County</t>
  </si>
  <si>
    <t>Pickens County</t>
  </si>
  <si>
    <t>Pike County</t>
  </si>
  <si>
    <t>Russell County</t>
  </si>
  <si>
    <t>St. Clair County</t>
  </si>
  <si>
    <t>Sumter County</t>
  </si>
  <si>
    <t>Talladega County</t>
  </si>
  <si>
    <t>Tallapoosa County</t>
  </si>
  <si>
    <t>Tuscaloosa County</t>
  </si>
  <si>
    <t>Wilcox County</t>
  </si>
  <si>
    <t>Winston 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</si>
  <si>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</si>
  <si>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</si>
  <si>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</si>
  <si>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</si>
  <si>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</si>
  <si>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</si>
  <si>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</si>
  <si>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</si>
  <si>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</si>
  <si>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</si>
  <si>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</si>
  <si>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</si>
  <si>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</si>
  <si>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</si>
  <si>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</si>
  <si>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</si>
  <si>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</si>
  <si>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</si>
  <si>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</si>
  <si>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</si>
  <si>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</si>
  <si>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</si>
  <si>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</si>
  <si>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</si>
  <si>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</si>
  <si>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</si>
  <si>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</si>
  <si>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</si>
  <si>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</si>
  <si>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</si>
  <si>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Column4</t>
  </si>
  <si>
    <t>Per 1k</t>
  </si>
  <si>
    <t>Yes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</si>
  <si>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</si>
  <si>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</si>
  <si>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</si>
  <si>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</si>
  <si>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</si>
  <si>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</si>
  <si>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</si>
  <si>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</si>
  <si>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</si>
  <si>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</si>
  <si>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</si>
  <si>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</si>
  <si>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</si>
  <si>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</si>
  <si>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</si>
  <si>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</si>
  <si>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</si>
  <si>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</si>
  <si>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</si>
  <si>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</si>
  <si>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</si>
  <si>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</si>
  <si>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</si>
  <si>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</si>
  <si>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</si>
  <si>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</si>
  <si>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</si>
  <si>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</si>
  <si>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</si>
  <si>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</si>
  <si>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</si>
  <si>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</si>
  <si>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</si>
  <si>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</si>
  <si>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</si>
  <si>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</si>
  <si>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</si>
  <si>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</si>
  <si>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</si>
  <si>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</si>
  <si>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</si>
  <si>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</si>
  <si>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</si>
  <si>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</si>
  <si>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</si>
  <si>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</si>
  <si>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</si>
  <si>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</si>
  <si>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</si>
  <si>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Tulare County</t>
  </si>
  <si>
    <t>Tuolumne County</t>
  </si>
  <si>
    <t>Ventura County</t>
  </si>
  <si>
    <t>Yolo County</t>
  </si>
  <si>
    <t>Yuba 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</si>
  <si>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</si>
  <si>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</si>
  <si>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</si>
  <si>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</si>
  <si>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</si>
  <si>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</si>
  <si>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</si>
  <si>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</si>
  <si>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</si>
  <si>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</si>
  <si>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</si>
  <si>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</si>
  <si>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</si>
  <si>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</si>
  <si>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</si>
  <si>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</si>
  <si>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</si>
  <si>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</si>
  <si>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</si>
  <si>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</si>
  <si>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</si>
  <si>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</si>
  <si>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</si>
  <si>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</si>
  <si>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</si>
  <si>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</si>
  <si>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</si>
  <si>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</si>
  <si>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</si>
  <si>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</si>
  <si>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</si>
  <si>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</si>
  <si>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</si>
  <si>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</si>
  <si>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</si>
  <si>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</si>
  <si>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</si>
  <si>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</si>
  <si>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</si>
  <si>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</si>
  <si>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</si>
  <si>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</si>
  <si>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</si>
  <si>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</si>
  <si>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</si>
  <si>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</si>
  <si>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</si>
  <si>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</si>
  <si>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</si>
  <si>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</si>
  <si>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</si>
  <si>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</si>
  <si>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</si>
  <si>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</si>
  <si>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</si>
  <si>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</si>
  <si>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</si>
  <si>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</si>
  <si>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</si>
  <si>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</si>
  <si>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</si>
  <si>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</si>
  <si>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</si>
  <si>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</si>
  <si>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</si>
  <si>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</si>
  <si>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</si>
  <si>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</si>
  <si>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Denver</t>
  </si>
  <si>
    <t>Dolores</t>
  </si>
  <si>
    <t>Eagle</t>
  </si>
  <si>
    <t>Elbert</t>
  </si>
  <si>
    <t>Fremont</t>
  </si>
  <si>
    <t>Garfield</t>
  </si>
  <si>
    <t>Gilpin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</si>
  <si>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</si>
  <si>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</si>
  <si>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</si>
  <si>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</si>
  <si>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</si>
  <si>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</si>
  <si>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</si>
  <si>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</si>
  <si>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</si>
  <si>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</si>
  <si>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</si>
  <si>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</si>
  <si>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</si>
  <si>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</si>
  <si>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</si>
  <si>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</si>
  <si>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</si>
  <si>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</si>
  <si>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</si>
  <si>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</si>
  <si>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</si>
  <si>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</si>
  <si>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</si>
  <si>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</si>
  <si>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</si>
  <si>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Summit</t>
  </si>
  <si>
    <t>Teller</t>
  </si>
  <si>
    <t>Weld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</si>
  <si>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</si>
  <si>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</si>
  <si>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</si>
  <si>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</si>
  <si>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</si>
  <si>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</si>
  <si>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</si>
  <si>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</si>
  <si>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</si>
  <si>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</si>
  <si>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</si>
  <si>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</si>
  <si>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</si>
  <si>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</si>
  <si>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Denver County</t>
  </si>
  <si>
    <t>Dolores County</t>
  </si>
  <si>
    <t>Eagle County</t>
  </si>
  <si>
    <t>Elbert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</si>
  <si>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</si>
  <si>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</si>
  <si>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</si>
  <si>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</si>
  <si>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</si>
  <si>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</si>
  <si>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</si>
  <si>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</si>
  <si>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</si>
  <si>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</si>
  <si>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</si>
  <si>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</si>
  <si>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</si>
  <si>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Moffat County</t>
  </si>
  <si>
    <t>Montezuma County</t>
  </si>
  <si>
    <t>Montrose County</t>
  </si>
  <si>
    <t>Otero County</t>
  </si>
  <si>
    <t>Ouray County</t>
  </si>
  <si>
    <t>Phillips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</si>
  <si>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</si>
  <si>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</si>
  <si>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</si>
  <si>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</si>
  <si>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</si>
  <si>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</si>
  <si>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</si>
  <si>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</si>
  <si>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</si>
  <si>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</si>
  <si>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</si>
  <si>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</si>
  <si>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</si>
  <si>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Broomfield County</t>
  </si>
  <si>
    <t>Park County</t>
  </si>
  <si>
    <t>p. Value</t>
  </si>
  <si>
    <t>Fairfield</t>
  </si>
  <si>
    <t>Hartford</t>
  </si>
  <si>
    <t>Litchfield</t>
  </si>
  <si>
    <t>New Haven</t>
  </si>
  <si>
    <t>New London</t>
  </si>
  <si>
    <t>Tolland</t>
  </si>
  <si>
    <t>Windham</t>
  </si>
  <si>
    <t>Tolland County</t>
  </si>
  <si>
    <t>New Haven County</t>
  </si>
  <si>
    <t>Windham County</t>
  </si>
  <si>
    <t>Hartford County</t>
  </si>
  <si>
    <t>Litchfield County</t>
  </si>
  <si>
    <t>Fairfield County</t>
  </si>
  <si>
    <t>New London County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</si>
  <si>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</si>
  <si>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</si>
  <si>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</si>
  <si>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</si>
  <si>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</si>
  <si>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</si>
  <si>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</si>
  <si>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</si>
  <si>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</si>
  <si>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</si>
  <si>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Bryan</t>
  </si>
  <si>
    <t>Bulloch</t>
  </si>
  <si>
    <t>Burke</t>
  </si>
  <si>
    <t>Butts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</si>
  <si>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</si>
  <si>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</si>
  <si>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</si>
  <si>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</si>
  <si>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</si>
  <si>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</si>
  <si>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</si>
  <si>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</si>
  <si>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</si>
  <si>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</si>
  <si>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</si>
  <si>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</si>
  <si>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Crawford</t>
  </si>
  <si>
    <t>Crisp</t>
  </si>
  <si>
    <t>Dade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</si>
  <si>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</si>
  <si>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</si>
  <si>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</si>
  <si>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</si>
  <si>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</si>
  <si>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</si>
  <si>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</si>
  <si>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</si>
  <si>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</si>
  <si>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Forsyth</t>
  </si>
  <si>
    <t>Fulton</t>
  </si>
  <si>
    <t>Glascock</t>
  </si>
  <si>
    <t>Glynn</t>
  </si>
  <si>
    <t>Gordon</t>
  </si>
  <si>
    <t>Grady</t>
  </si>
  <si>
    <t>Gwinnett</t>
  </si>
  <si>
    <t>Habersham</t>
  </si>
  <si>
    <t>Haralson</t>
  </si>
  <si>
    <t>Hart</t>
  </si>
  <si>
    <t>Heard</t>
  </si>
  <si>
    <t>Irwin</t>
  </si>
  <si>
    <t>Jenkins</t>
  </si>
  <si>
    <t>Lanier</t>
  </si>
  <si>
    <t>Laurens</t>
  </si>
  <si>
    <t>Long</t>
  </si>
  <si>
    <t>Lumpkin</t>
  </si>
  <si>
    <t>McDuffie</t>
  </si>
  <si>
    <t>McIntosh</t>
  </si>
  <si>
    <t>Meriwether</t>
  </si>
  <si>
    <t>Miller</t>
  </si>
  <si>
    <t>Murray</t>
  </si>
  <si>
    <t>Muscogee</t>
  </si>
  <si>
    <t>Oconee</t>
  </si>
  <si>
    <t>Oglethorpe</t>
  </si>
  <si>
    <t>Paulding</t>
  </si>
  <si>
    <t>Peach</t>
  </si>
  <si>
    <t>Pierce</t>
  </si>
  <si>
    <t>Pulaski</t>
  </si>
  <si>
    <t>Quitman</t>
  </si>
  <si>
    <t>Rabun</t>
  </si>
  <si>
    <t>Richmond</t>
  </si>
  <si>
    <t>Rockdale</t>
  </si>
  <si>
    <t>Schley</t>
  </si>
  <si>
    <t>Screven</t>
  </si>
  <si>
    <t>Seminole</t>
  </si>
  <si>
    <t>Spalding</t>
  </si>
  <si>
    <t>Talbot</t>
  </si>
  <si>
    <t>Taliaferro</t>
  </si>
  <si>
    <t>Tattnall</t>
  </si>
  <si>
    <t>Telfair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</si>
  <si>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</si>
  <si>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</si>
  <si>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</si>
  <si>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</si>
  <si>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</si>
  <si>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</si>
  <si>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</si>
  <si>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</si>
  <si>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</si>
  <si>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Walton</t>
  </si>
  <si>
    <t>Ware</t>
  </si>
  <si>
    <t>Whitfield</t>
  </si>
  <si>
    <t>Wilkes</t>
  </si>
  <si>
    <t>Wilkinson</t>
  </si>
  <si>
    <t>Worth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</si>
  <si>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</si>
  <si>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</si>
  <si>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</si>
  <si>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</si>
  <si>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</si>
  <si>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</si>
  <si>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</si>
  <si>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</si>
  <si>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</si>
  <si>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</si>
  <si>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Bryan County</t>
  </si>
  <si>
    <t>Bulloch County</t>
  </si>
  <si>
    <t>Burke County</t>
  </si>
  <si>
    <t>Butts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</si>
  <si>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</si>
  <si>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</si>
  <si>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</si>
  <si>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</si>
  <si>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</si>
  <si>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</si>
  <si>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</si>
  <si>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</si>
  <si>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</si>
  <si>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</si>
  <si>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</si>
  <si>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</si>
  <si>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Crawford County</t>
  </si>
  <si>
    <t>Crisp County</t>
  </si>
  <si>
    <t>Dade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</si>
  <si>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</si>
  <si>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</si>
  <si>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</si>
  <si>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</si>
  <si>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</si>
  <si>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</si>
  <si>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</si>
  <si>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</si>
  <si>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Forsyth County</t>
  </si>
  <si>
    <t>Fulton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</si>
  <si>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</si>
  <si>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</si>
  <si>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</si>
  <si>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</si>
  <si>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</si>
  <si>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</si>
  <si>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Haralson County</t>
  </si>
  <si>
    <t>Hart County</t>
  </si>
  <si>
    <t>Heard County</t>
  </si>
  <si>
    <t>Irwin County</t>
  </si>
  <si>
    <t>Jenkins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</si>
  <si>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</si>
  <si>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</si>
  <si>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</si>
  <si>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</si>
  <si>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</si>
  <si>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</si>
  <si>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</si>
  <si>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Miller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</si>
  <si>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</si>
  <si>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</si>
  <si>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</si>
  <si>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</si>
  <si>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</si>
  <si>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</si>
  <si>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</si>
  <si>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Pulaski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</si>
  <si>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</si>
  <si>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</si>
  <si>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</si>
  <si>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</si>
  <si>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</si>
  <si>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</si>
  <si>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Seminole County</t>
  </si>
  <si>
    <t>Spalding County</t>
  </si>
  <si>
    <t>Talbot County</t>
  </si>
  <si>
    <t>Taliaferro County</t>
  </si>
  <si>
    <t>Tattnall County</t>
  </si>
  <si>
    <t>Telfair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</si>
  <si>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</si>
  <si>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</si>
  <si>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</si>
  <si>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</si>
  <si>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</si>
  <si>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</si>
  <si>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</si>
  <si>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</si>
  <si>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</si>
  <si>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Walton County</t>
  </si>
  <si>
    <t>Ware County</t>
  </si>
  <si>
    <t>Whitfield County</t>
  </si>
  <si>
    <t>Wilkes County</t>
  </si>
  <si>
    <t>Wilkinson County</t>
  </si>
  <si>
    <t>Worth County</t>
  </si>
  <si>
    <t>Clinton</t>
  </si>
  <si>
    <t>Livingston</t>
  </si>
  <si>
    <t>McLean</t>
  </si>
  <si>
    <t>Winnebago</t>
  </si>
  <si>
    <t>Woodford</t>
  </si>
  <si>
    <t>Christian County</t>
  </si>
  <si>
    <t>Clark County</t>
  </si>
  <si>
    <t>Clinton County</t>
  </si>
  <si>
    <t>Gallatin County</t>
  </si>
  <si>
    <t>Livingston County</t>
  </si>
  <si>
    <t>McLean County</t>
  </si>
  <si>
    <t>Pope County</t>
  </si>
  <si>
    <t>Saline County</t>
  </si>
  <si>
    <t>Schuyler County</t>
  </si>
  <si>
    <t>Wabash County</t>
  </si>
  <si>
    <t>Winnebago County</t>
  </si>
  <si>
    <t>Woodford County</t>
  </si>
  <si>
    <t>Allen</t>
  </si>
  <si>
    <t>Bartholomew</t>
  </si>
  <si>
    <t>Blackford</t>
  </si>
  <si>
    <t>Clark</t>
  </si>
  <si>
    <t>Daviess</t>
  </si>
  <si>
    <t>Dearborn</t>
  </si>
  <si>
    <t>Dubois</t>
  </si>
  <si>
    <t>Elkhart</t>
  </si>
  <si>
    <t>Fountain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</si>
  <si>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</si>
  <si>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</si>
  <si>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</si>
  <si>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</si>
  <si>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</si>
  <si>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</si>
  <si>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</si>
  <si>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</si>
  <si>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</si>
  <si>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</si>
  <si>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</si>
  <si>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</si>
  <si>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</si>
  <si>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</si>
  <si>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</si>
  <si>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</si>
  <si>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</si>
  <si>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</si>
  <si>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</si>
  <si>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Switzerland</t>
  </si>
  <si>
    <t>Tippecanoe</t>
  </si>
  <si>
    <t>Vanderburgh</t>
  </si>
  <si>
    <t>Vermillion</t>
  </si>
  <si>
    <t>Vigo</t>
  </si>
  <si>
    <t>Wabash</t>
  </si>
  <si>
    <t>Warrick</t>
  </si>
  <si>
    <t>Wells</t>
  </si>
  <si>
    <t>Whitley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</si>
  <si>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</si>
  <si>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</si>
  <si>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</si>
  <si>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</si>
  <si>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</si>
  <si>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</si>
  <si>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</si>
  <si>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</si>
  <si>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</si>
  <si>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</si>
  <si>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</si>
  <si>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</si>
  <si>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</si>
  <si>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</si>
  <si>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</si>
  <si>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</si>
  <si>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</si>
  <si>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</si>
  <si>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</si>
  <si>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</si>
  <si>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</si>
  <si>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</si>
  <si>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</si>
  <si>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</si>
  <si>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</si>
  <si>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</si>
  <si>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</si>
  <si>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</si>
  <si>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Switzerland County</t>
  </si>
  <si>
    <t>Tippecanoe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</si>
  <si>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</si>
  <si>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</si>
  <si>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</si>
  <si>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</si>
  <si>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</si>
  <si>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</si>
  <si>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Enough Data?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</si>
  <si>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</si>
  <si>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</si>
  <si>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</si>
  <si>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</si>
  <si>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</si>
  <si>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</si>
  <si>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</si>
  <si>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</si>
  <si>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</si>
  <si>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</si>
  <si>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</si>
  <si>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</si>
  <si>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</si>
  <si>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</si>
  <si>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</si>
  <si>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</si>
  <si>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</si>
  <si>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</si>
  <si>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</si>
  <si>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</si>
  <si>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Louisa</t>
  </si>
  <si>
    <t>Lucas</t>
  </si>
  <si>
    <t>Lyon</t>
  </si>
  <si>
    <t>Mahaska</t>
  </si>
  <si>
    <t>Monona</t>
  </si>
  <si>
    <t>Muscatine</t>
  </si>
  <si>
    <t>O'Brien</t>
  </si>
  <si>
    <t>Osceola</t>
  </si>
  <si>
    <t>Page</t>
  </si>
  <si>
    <t>Palo Alto</t>
  </si>
  <si>
    <t>Plymouth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</si>
  <si>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</si>
  <si>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</si>
  <si>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</si>
  <si>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</si>
  <si>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</si>
  <si>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</si>
  <si>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</si>
  <si>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</si>
  <si>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</si>
  <si>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</si>
  <si>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</si>
  <si>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</si>
  <si>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</si>
  <si>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</si>
  <si>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</si>
  <si>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</si>
  <si>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</si>
  <si>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</si>
  <si>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</si>
  <si>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</si>
  <si>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</si>
  <si>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</si>
  <si>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</si>
  <si>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</si>
  <si>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</si>
  <si>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</si>
  <si>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</si>
  <si>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</si>
  <si>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</si>
  <si>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</si>
  <si>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</si>
  <si>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</si>
  <si>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Louisa County</t>
  </si>
  <si>
    <t>Lucas County</t>
  </si>
  <si>
    <t>Lyon County</t>
  </si>
  <si>
    <t>Mahaska County</t>
  </si>
  <si>
    <t>Monona County</t>
  </si>
  <si>
    <t>Muscatine County</t>
  </si>
  <si>
    <t>O'Brien County</t>
  </si>
  <si>
    <t>Osceola County</t>
  </si>
  <si>
    <t>Page County</t>
  </si>
  <si>
    <t>Palo Alto County</t>
  </si>
  <si>
    <t>Plymouth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</si>
  <si>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</si>
  <si>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</si>
  <si>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</si>
  <si>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</si>
  <si>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</si>
  <si>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</si>
  <si>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</si>
  <si>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</si>
  <si>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</si>
  <si>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</si>
  <si>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</si>
  <si>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Ballard</t>
  </si>
  <si>
    <t>Barren</t>
  </si>
  <si>
    <t>Bath</t>
  </si>
  <si>
    <t>Bourbon</t>
  </si>
  <si>
    <t>Boyd</t>
  </si>
  <si>
    <t>Boyle</t>
  </si>
  <si>
    <t>Bracken</t>
  </si>
  <si>
    <t>Breathitt</t>
  </si>
  <si>
    <t>Breckinridge</t>
  </si>
  <si>
    <t>Bullitt</t>
  </si>
  <si>
    <t>Calloway</t>
  </si>
  <si>
    <t>Carlisle</t>
  </si>
  <si>
    <t>Casey</t>
  </si>
  <si>
    <t>Christian</t>
  </si>
  <si>
    <t>Crittenden</t>
  </si>
  <si>
    <t>Edmonson</t>
  </si>
  <si>
    <t>Elliott</t>
  </si>
  <si>
    <t>Estill</t>
  </si>
  <si>
    <t>Fleming</t>
  </si>
  <si>
    <t>Gallatin</t>
  </si>
  <si>
    <t>Garrard</t>
  </si>
  <si>
    <t>Graves</t>
  </si>
  <si>
    <t>Green</t>
  </si>
  <si>
    <t>Greenup</t>
  </si>
  <si>
    <t>Harlan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</si>
  <si>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</si>
  <si>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</si>
  <si>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</si>
  <si>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</si>
  <si>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</si>
  <si>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</si>
  <si>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</si>
  <si>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</si>
  <si>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</si>
  <si>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</si>
  <si>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Meade</t>
  </si>
  <si>
    <t>Menifee</t>
  </si>
  <si>
    <t>Metcalfe</t>
  </si>
  <si>
    <t>Muhlenberg</t>
  </si>
  <si>
    <t>Nelson</t>
  </si>
  <si>
    <t>Owsley</t>
  </si>
  <si>
    <t>Powell</t>
  </si>
  <si>
    <t>Rockcastle</t>
  </si>
  <si>
    <t>Rowan</t>
  </si>
  <si>
    <t>Simpson</t>
  </si>
  <si>
    <t>Todd</t>
  </si>
  <si>
    <t>Trigg</t>
  </si>
  <si>
    <t>Trimble</t>
  </si>
  <si>
    <t>Wolfe</t>
  </si>
  <si>
    <t>Ballard County</t>
  </si>
  <si>
    <t>Barren County</t>
  </si>
  <si>
    <t>Bath County</t>
  </si>
  <si>
    <t>Bourbon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</si>
  <si>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</si>
  <si>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</si>
  <si>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</si>
  <si>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</si>
  <si>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</si>
  <si>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</si>
  <si>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Calloway County</t>
  </si>
  <si>
    <t>Carlisle County</t>
  </si>
  <si>
    <t>Casey County</t>
  </si>
  <si>
    <t>Crittenden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</si>
  <si>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</si>
  <si>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</si>
  <si>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</si>
  <si>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</si>
  <si>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</si>
  <si>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</si>
  <si>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Green County</t>
  </si>
  <si>
    <t>Greenup County</t>
  </si>
  <si>
    <t>Harlan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</si>
  <si>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</si>
  <si>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</si>
  <si>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</si>
  <si>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</si>
  <si>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</si>
  <si>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</si>
  <si>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</si>
  <si>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</si>
  <si>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</si>
  <si>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</si>
  <si>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Meade County</t>
  </si>
  <si>
    <t>Menifee County</t>
  </si>
  <si>
    <t>Metcalfe County</t>
  </si>
  <si>
    <t>Muhlenberg County</t>
  </si>
  <si>
    <t>Nelson County</t>
  </si>
  <si>
    <t>Owsley County</t>
  </si>
  <si>
    <t>Powell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</si>
  <si>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</si>
  <si>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</si>
  <si>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</si>
  <si>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</si>
  <si>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</si>
  <si>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</si>
  <si>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</si>
  <si>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Rank</t>
  </si>
  <si>
    <t>T</t>
  </si>
  <si>
    <t>B</t>
  </si>
  <si>
    <t>https://www.kentucky-demographics.com/counties_by_population</t>
  </si>
  <si>
    <t>Data Type</t>
  </si>
  <si>
    <t>Normalized by Population</t>
  </si>
  <si>
    <t>Abuse Cases</t>
  </si>
  <si>
    <t>NbP</t>
  </si>
  <si>
    <t>Nonvoting</t>
  </si>
  <si>
    <t>N</t>
  </si>
  <si>
    <t>Biden Cor.</t>
  </si>
  <si>
    <t>Trump Cor.</t>
  </si>
  <si>
    <t>Neither Cor.</t>
  </si>
  <si>
    <t>No</t>
  </si>
  <si>
    <t>Rate of child abuse per 1000 children</t>
  </si>
  <si>
    <t>Indicator (Proportional to Population)</t>
  </si>
  <si>
    <t>MM</t>
  </si>
  <si>
    <t>NbP2</t>
  </si>
  <si>
    <t>Child abuse and neglect cases per capita</t>
  </si>
  <si>
    <t>NdP</t>
  </si>
  <si>
    <t>NdP2</t>
  </si>
  <si>
    <r>
      <t>203 </t>
    </r>
    <r>
      <rPr>
        <b/>
        <sz val="8"/>
        <color rgb="FFFFFFFF"/>
        <rFont val="Inherit"/>
      </rPr>
      <t>TIE</t>
    </r>
  </si>
  <si>
    <t>Jim Hogg County and Wheeler County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</si>
  <si>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</si>
  <si>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</si>
  <si>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</si>
  <si>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</si>
  <si>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</si>
  <si>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</si>
  <si>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</si>
  <si>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</si>
  <si>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</si>
  <si>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2019</t>
  </si>
  <si>
    <t>York County</t>
  </si>
  <si>
    <t>Penobscot County</t>
  </si>
  <si>
    <t>Kennebec County</t>
  </si>
  <si>
    <t>Androscoggin County</t>
  </si>
  <si>
    <t>Aroostook County</t>
  </si>
  <si>
    <t>Oxford County</t>
  </si>
  <si>
    <t>Waldo County</t>
  </si>
  <si>
    <t>Sagadahoc County</t>
  </si>
  <si>
    <t>Piscataquis County</t>
  </si>
  <si>
    <t>Time</t>
  </si>
  <si>
    <t>Allegany</t>
  </si>
  <si>
    <t>Yearly total</t>
  </si>
  <si>
    <t>Anne Arundel</t>
  </si>
  <si>
    <t>Baltimore City</t>
  </si>
  <si>
    <t>Baltimore County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</si>
  <si>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</si>
  <si>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</si>
  <si>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</si>
  <si>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</si>
  <si>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</si>
  <si>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</si>
  <si>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</si>
  <si>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</si>
  <si>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</si>
  <si>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</si>
  <si>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Wicomico</t>
  </si>
  <si>
    <t>Worcester</t>
  </si>
  <si>
    <t>Prince George's County</t>
  </si>
  <si>
    <t>Baltimore city/county</t>
  </si>
  <si>
    <t>Anne Arundel County</t>
  </si>
  <si>
    <t>Frederick County</t>
  </si>
  <si>
    <t>Harford County</t>
  </si>
  <si>
    <t>Charles County</t>
  </si>
  <si>
    <t>St. Mary's County</t>
  </si>
  <si>
    <t>Wicomico County</t>
  </si>
  <si>
    <t>Cecil County</t>
  </si>
  <si>
    <t>Calvert County</t>
  </si>
  <si>
    <t>Allegany County</t>
  </si>
  <si>
    <t>Worcester County</t>
  </si>
  <si>
    <t>Queen Anne's County</t>
  </si>
  <si>
    <t>Caroline County</t>
  </si>
  <si>
    <t>Dorchester County</t>
  </si>
  <si>
    <t>Garrett County</t>
  </si>
  <si>
    <t>2021</t>
  </si>
  <si>
    <t>Baltimore city</t>
  </si>
  <si>
    <t>St. Mary's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</si>
  <si>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</si>
  <si>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</si>
  <si>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</si>
  <si>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</si>
  <si>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</si>
  <si>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</si>
  <si>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</si>
  <si>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</si>
  <si>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</si>
  <si>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</si>
  <si>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</si>
  <si>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</si>
  <si>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</si>
  <si>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</si>
  <si>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</si>
  <si>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</si>
  <si>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</si>
  <si>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</si>
  <si>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</si>
  <si>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</si>
  <si>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</si>
  <si>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</si>
  <si>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</si>
  <si>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</si>
  <si>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</si>
  <si>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</si>
  <si>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</si>
  <si>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</si>
  <si>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</si>
  <si>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</si>
  <si>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</si>
  <si>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</si>
  <si>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</si>
  <si>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</si>
  <si>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</si>
  <si>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</si>
  <si>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</si>
  <si>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</si>
  <si>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</si>
  <si>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</si>
  <si>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</si>
  <si>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</si>
  <si>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</si>
  <si>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</si>
  <si>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</si>
  <si>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</si>
  <si>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</si>
  <si>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</si>
  <si>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</si>
  <si>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</si>
  <si>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</si>
  <si>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</si>
  <si>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</si>
  <si>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Ottawa</t>
  </si>
  <si>
    <t>Presque Isle</t>
  </si>
  <si>
    <t>Roscommon</t>
  </si>
  <si>
    <t>Saginaw</t>
  </si>
  <si>
    <t>Saint Clair</t>
  </si>
  <si>
    <t>Saint Joseph</t>
  </si>
  <si>
    <t>Sanilac</t>
  </si>
  <si>
    <t>Schoolcraft</t>
  </si>
  <si>
    <t>Shiawassee</t>
  </si>
  <si>
    <t>Tuscola</t>
  </si>
  <si>
    <t>Washtenaw</t>
  </si>
  <si>
    <t>Wexford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</si>
  <si>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</si>
  <si>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</si>
  <si>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</si>
  <si>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</si>
  <si>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</si>
  <si>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</si>
  <si>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</si>
  <si>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</si>
  <si>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Bay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</si>
  <si>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</si>
  <si>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</si>
  <si>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</si>
  <si>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</si>
  <si>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</si>
  <si>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</si>
  <si>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</si>
  <si>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</si>
  <si>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</si>
  <si>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</si>
  <si>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</si>
  <si>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</si>
  <si>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</si>
  <si>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</si>
  <si>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</si>
  <si>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</si>
  <si>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</si>
  <si>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</si>
  <si>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</si>
  <si>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</si>
  <si>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</si>
  <si>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</si>
  <si>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</si>
  <si>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</si>
  <si>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</si>
  <si>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</si>
  <si>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</si>
  <si>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</si>
  <si>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</si>
  <si>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</si>
  <si>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</si>
  <si>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</si>
  <si>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</si>
  <si>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</si>
  <si>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</si>
  <si>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</si>
  <si>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</si>
  <si>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</si>
  <si>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</si>
  <si>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</si>
  <si>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</si>
  <si>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</si>
  <si>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</si>
  <si>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</si>
  <si>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Ottawa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</si>
  <si>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</si>
  <si>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</si>
  <si>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</si>
  <si>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</si>
  <si>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</si>
  <si>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</si>
  <si>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</si>
  <si>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</si>
  <si>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</si>
  <si>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</si>
  <si>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</si>
  <si>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</si>
  <si>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</si>
  <si>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</si>
  <si>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</si>
  <si>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</si>
  <si>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</si>
  <si>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</si>
  <si>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Clearwater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</si>
  <si>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</si>
  <si>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</si>
  <si>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</si>
  <si>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</si>
  <si>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</si>
  <si>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</si>
  <si>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</si>
  <si>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</si>
  <si>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</si>
  <si>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</si>
  <si>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</si>
  <si>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</si>
  <si>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</si>
  <si>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</si>
  <si>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</si>
  <si>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</si>
  <si>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</si>
  <si>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</si>
  <si>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</si>
  <si>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</si>
  <si>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</si>
  <si>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</si>
  <si>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</si>
  <si>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</si>
  <si>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</si>
  <si>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</si>
  <si>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</si>
  <si>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</si>
  <si>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</si>
  <si>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</si>
  <si>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</si>
  <si>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</si>
  <si>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</si>
  <si>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</si>
  <si>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</si>
  <si>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</si>
  <si>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</si>
  <si>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</si>
  <si>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</si>
  <si>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</si>
  <si>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Sherburne</t>
  </si>
  <si>
    <t>Sibley</t>
  </si>
  <si>
    <t>St. Louis</t>
  </si>
  <si>
    <t>Stearns</t>
  </si>
  <si>
    <t>Steele</t>
  </si>
  <si>
    <t>Stevens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</si>
  <si>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</si>
  <si>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</si>
  <si>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</si>
  <si>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</si>
  <si>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</si>
  <si>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</si>
  <si>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</si>
  <si>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</si>
  <si>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</si>
  <si>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2011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</si>
  <si>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</si>
  <si>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</si>
  <si>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</si>
  <si>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</si>
  <si>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</si>
  <si>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</si>
  <si>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</si>
  <si>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</si>
  <si>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</si>
  <si>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Clearwater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</si>
  <si>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</si>
  <si>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</si>
  <si>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</si>
  <si>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</si>
  <si>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</si>
  <si>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</si>
  <si>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</si>
  <si>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</si>
  <si>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</si>
  <si>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</si>
  <si>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</si>
  <si>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</si>
  <si>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</si>
  <si>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</si>
  <si>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</si>
  <si>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</si>
  <si>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</si>
  <si>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</si>
  <si>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</si>
  <si>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</si>
  <si>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</si>
  <si>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</si>
  <si>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</si>
  <si>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</si>
  <si>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</si>
  <si>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</si>
  <si>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</si>
  <si>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</si>
  <si>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</si>
  <si>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</si>
  <si>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</si>
  <si>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</si>
  <si>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</si>
  <si>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</si>
  <si>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</si>
  <si>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</si>
  <si>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Rice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</si>
  <si>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</si>
  <si>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</si>
  <si>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</si>
  <si>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</si>
  <si>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</si>
  <si>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</si>
  <si>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</si>
  <si>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Stevens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</si>
  <si>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</si>
  <si>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</si>
  <si>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</si>
  <si>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</si>
  <si>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</si>
  <si>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</si>
  <si>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</si>
  <si>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</si>
  <si>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</si>
  <si>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AbuseType</t>
  </si>
  <si>
    <t>Evidenced Reports</t>
  </si>
  <si>
    <t>Alcorn</t>
  </si>
  <si>
    <t>Amite</t>
  </si>
  <si>
    <t>Attala</t>
  </si>
  <si>
    <t>Bolivar</t>
  </si>
  <si>
    <t>Coahoma</t>
  </si>
  <si>
    <t>Copiah</t>
  </si>
  <si>
    <t>DeSoto</t>
  </si>
  <si>
    <t>Forrest</t>
  </si>
  <si>
    <t>George</t>
  </si>
  <si>
    <t>Grenada</t>
  </si>
  <si>
    <t>Hinds</t>
  </si>
  <si>
    <t>Holmes</t>
  </si>
  <si>
    <t>Issaquena</t>
  </si>
  <si>
    <t>Itawamba</t>
  </si>
  <si>
    <t>Jefferson Davis</t>
  </si>
  <si>
    <t>Kemper</t>
  </si>
  <si>
    <t>Lafayette</t>
  </si>
  <si>
    <t>Leake</t>
  </si>
  <si>
    <t>Leflore</t>
  </si>
  <si>
    <t>Neshoba</t>
  </si>
  <si>
    <t>Noxubee</t>
  </si>
  <si>
    <t>Oktibbeha</t>
  </si>
  <si>
    <t>Pearl River</t>
  </si>
  <si>
    <t>Pontotoc</t>
  </si>
  <si>
    <t>Prentiss</t>
  </si>
  <si>
    <t>Rankin</t>
  </si>
  <si>
    <t>Sharkey</t>
  </si>
  <si>
    <t>Stone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</si>
  <si>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</si>
  <si>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</si>
  <si>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</si>
  <si>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</si>
  <si>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</si>
  <si>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</si>
  <si>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</si>
  <si>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</si>
  <si>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</si>
  <si>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2016</t>
  </si>
  <si>
    <t>Alcorn County</t>
  </si>
  <si>
    <t>Amite County</t>
  </si>
  <si>
    <t>Attala County</t>
  </si>
  <si>
    <t>Bolivar County</t>
  </si>
  <si>
    <t>Coahoma County</t>
  </si>
  <si>
    <t>Copiah County</t>
  </si>
  <si>
    <t>DeSoto County</t>
  </si>
  <si>
    <t>Forrest County</t>
  </si>
  <si>
    <t>George County</t>
  </si>
  <si>
    <t>Grenada County</t>
  </si>
  <si>
    <t>Hinds County</t>
  </si>
  <si>
    <t>Holmes County</t>
  </si>
  <si>
    <t>Issaquena County</t>
  </si>
  <si>
    <t>Itawamba County</t>
  </si>
  <si>
    <t>Jefferson Davis County</t>
  </si>
  <si>
    <t>Kemper County</t>
  </si>
  <si>
    <t>Lafayette County</t>
  </si>
  <si>
    <t>Leake County</t>
  </si>
  <si>
    <t>Leflore County</t>
  </si>
  <si>
    <t>Neshoba County</t>
  </si>
  <si>
    <t>Noxubee County</t>
  </si>
  <si>
    <t>Oktibbeha County</t>
  </si>
  <si>
    <t>Pearl River County</t>
  </si>
  <si>
    <t>Pontotoc County</t>
  </si>
  <si>
    <t>Prentiss County</t>
  </si>
  <si>
    <t>Rankin County</t>
  </si>
  <si>
    <t>Sharkey County</t>
  </si>
  <si>
    <t>Stone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</si>
  <si>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</si>
  <si>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</si>
  <si>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</si>
  <si>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</si>
  <si>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</si>
  <si>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</si>
  <si>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</si>
  <si>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</si>
  <si>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</si>
  <si>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</t>
  </si>
  <si>
    <t>Atchison</t>
  </si>
  <si>
    <t>Audrain</t>
  </si>
  <si>
    <t>Barton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</si>
  <si>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</si>
  <si>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</si>
  <si>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</si>
  <si>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</si>
  <si>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</si>
  <si>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</si>
  <si>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</si>
  <si>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</si>
  <si>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</si>
  <si>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</si>
  <si>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</si>
  <si>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</si>
  <si>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</si>
  <si>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</si>
  <si>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</si>
  <si>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</si>
  <si>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</si>
  <si>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</si>
  <si>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</si>
  <si>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</si>
  <si>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Osage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</si>
  <si>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</si>
  <si>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</si>
  <si>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</si>
  <si>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</si>
  <si>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</si>
  <si>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</si>
  <si>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</si>
  <si>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</si>
  <si>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Saline</t>
  </si>
  <si>
    <t>Schuyler</t>
  </si>
  <si>
    <t>Scotland</t>
  </si>
  <si>
    <t>Shannon</t>
  </si>
  <si>
    <t>St. Charles</t>
  </si>
  <si>
    <t>St. Francois</t>
  </si>
  <si>
    <t>St. Louis City</t>
  </si>
  <si>
    <t>Ste. Genevieve</t>
  </si>
  <si>
    <t>Stoddard</t>
  </si>
  <si>
    <t>Taney</t>
  </si>
  <si>
    <t>Vernon</t>
  </si>
  <si>
    <t>Andrew County</t>
  </si>
  <si>
    <t>Atchison County</t>
  </si>
  <si>
    <t>Audrain County</t>
  </si>
  <si>
    <t>Barton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</si>
  <si>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</si>
  <si>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</si>
  <si>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</si>
  <si>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</si>
  <si>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</si>
  <si>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</si>
  <si>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</si>
  <si>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</si>
  <si>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</si>
  <si>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</si>
  <si>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</si>
  <si>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</si>
  <si>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</si>
  <si>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</si>
  <si>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</si>
  <si>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</si>
  <si>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</si>
  <si>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Mississippi County</t>
  </si>
  <si>
    <t>Moniteau County</t>
  </si>
  <si>
    <t>New Madrid County</t>
  </si>
  <si>
    <t>Nodaway County</t>
  </si>
  <si>
    <t>Oregon County</t>
  </si>
  <si>
    <t>Osage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</si>
  <si>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</si>
  <si>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</si>
  <si>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</si>
  <si>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</si>
  <si>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</si>
  <si>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</si>
  <si>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</si>
  <si>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</si>
  <si>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Francois County</t>
  </si>
  <si>
    <t>Ste. Genevieve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</si>
  <si>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</si>
  <si>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</si>
  <si>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</si>
  <si>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</si>
  <si>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</si>
  <si>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</si>
  <si>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</si>
  <si>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St. Charles County</t>
  </si>
  <si>
    <t>St. Louis city/county</t>
  </si>
  <si>
    <t>Antelope</t>
  </si>
  <si>
    <t>Arthur</t>
  </si>
  <si>
    <t>Banner</t>
  </si>
  <si>
    <t>Blaine</t>
  </si>
  <si>
    <t>Box Butte</t>
  </si>
  <si>
    <t>Buffalo</t>
  </si>
  <si>
    <t>Burt</t>
  </si>
  <si>
    <t>Chase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</si>
  <si>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</si>
  <si>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</si>
  <si>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</si>
  <si>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</si>
  <si>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</si>
  <si>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</si>
  <si>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</si>
  <si>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</si>
  <si>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</si>
  <si>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</si>
  <si>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</si>
  <si>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</si>
  <si>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Greeley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</si>
  <si>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</si>
  <si>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</si>
  <si>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</si>
  <si>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</si>
  <si>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</si>
  <si>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</si>
  <si>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</si>
  <si>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</si>
  <si>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</si>
  <si>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</si>
  <si>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</si>
  <si>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</si>
  <si>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</si>
  <si>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</si>
  <si>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</si>
  <si>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</si>
  <si>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</si>
  <si>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</si>
  <si>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Red Willow</t>
  </si>
  <si>
    <t>Richardson</t>
  </si>
  <si>
    <t>Sarpy</t>
  </si>
  <si>
    <t>Saunders</t>
  </si>
  <si>
    <t>Scotts Bluff</t>
  </si>
  <si>
    <t>Seward</t>
  </si>
  <si>
    <t>Sheridan</t>
  </si>
  <si>
    <t>Stanton</t>
  </si>
  <si>
    <t>Thayer</t>
  </si>
  <si>
    <t>Thurston</t>
  </si>
  <si>
    <t>Valley</t>
  </si>
  <si>
    <t>Antelope County</t>
  </si>
  <si>
    <t>Arthur County</t>
  </si>
  <si>
    <t>Banner County</t>
  </si>
  <si>
    <t>Blaine County</t>
  </si>
  <si>
    <t>Box Butte County</t>
  </si>
  <si>
    <t>Buffalo County</t>
  </si>
  <si>
    <t>Burt County</t>
  </si>
  <si>
    <t>Chase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</si>
  <si>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</si>
  <si>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</si>
  <si>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</si>
  <si>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</si>
  <si>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</si>
  <si>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</si>
  <si>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</si>
  <si>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</si>
  <si>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</si>
  <si>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</si>
  <si>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</si>
  <si>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</si>
  <si>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Greeley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</si>
  <si>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</si>
  <si>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</si>
  <si>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</si>
  <si>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</si>
  <si>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</si>
  <si>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</si>
  <si>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</si>
  <si>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</si>
  <si>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</si>
  <si>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McPherson County</t>
  </si>
  <si>
    <t>Merrick County</t>
  </si>
  <si>
    <t>Morrill County</t>
  </si>
  <si>
    <t>Nance County</t>
  </si>
  <si>
    <t>Nemaha County</t>
  </si>
  <si>
    <t>Nuckolls County</t>
  </si>
  <si>
    <t>Otoe County</t>
  </si>
  <si>
    <t>Pawnee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</si>
  <si>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</si>
  <si>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</si>
  <si>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</si>
  <si>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</si>
  <si>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</si>
  <si>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</si>
  <si>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Seward County</t>
  </si>
  <si>
    <t>Sheridan County</t>
  </si>
  <si>
    <t>Stanton County</t>
  </si>
  <si>
    <t>Thayer County</t>
  </si>
  <si>
    <t>Thurston County</t>
  </si>
  <si>
    <t>Valley County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</si>
  <si>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</si>
  <si>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</si>
  <si>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</si>
  <si>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</si>
  <si>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</si>
  <si>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</si>
  <si>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</si>
  <si>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</si>
  <si>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</si>
  <si>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</si>
  <si>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</si>
  <si>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2014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</si>
  <si>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</si>
  <si>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</si>
  <si>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</si>
  <si>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</si>
  <si>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</si>
  <si>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</si>
  <si>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</si>
  <si>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</si>
  <si>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</si>
  <si>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</si>
  <si>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City/county</t>
  </si>
  <si>
    <t>Belknap</t>
  </si>
  <si>
    <t>Cheshire</t>
  </si>
  <si>
    <t>Grafton</t>
  </si>
  <si>
    <t>Hillsborough</t>
  </si>
  <si>
    <t>Merrimack</t>
  </si>
  <si>
    <t>Rockingham</t>
  </si>
  <si>
    <t>Strafford</t>
  </si>
  <si>
    <t>Grafton County</t>
  </si>
  <si>
    <t>Merrimack County</t>
  </si>
  <si>
    <t>Cheshire County</t>
  </si>
  <si>
    <t>Belknap County</t>
  </si>
  <si>
    <t>Hillsborough County</t>
  </si>
  <si>
    <t>Rockingham County</t>
  </si>
  <si>
    <t>Strafford County</t>
  </si>
  <si>
    <t>Bernalillo</t>
  </si>
  <si>
    <t>Catron</t>
  </si>
  <si>
    <t>Chaves</t>
  </si>
  <si>
    <t>Cibola</t>
  </si>
  <si>
    <t>De Baca</t>
  </si>
  <si>
    <t>Doña Ana</t>
  </si>
  <si>
    <t>Eddy</t>
  </si>
  <si>
    <t>Harding</t>
  </si>
  <si>
    <t>Lea</t>
  </si>
  <si>
    <t>Los Alamos</t>
  </si>
  <si>
    <t>Luna</t>
  </si>
  <si>
    <t>McKinley</t>
  </si>
  <si>
    <t>Mora</t>
  </si>
  <si>
    <t>Quay</t>
  </si>
  <si>
    <t>Rio Arriba</t>
  </si>
  <si>
    <t>Roosevelt</t>
  </si>
  <si>
    <t>San Juan</t>
  </si>
  <si>
    <t>Sandoval</t>
  </si>
  <si>
    <t>Santa Fe</t>
  </si>
  <si>
    <t>Socorro</t>
  </si>
  <si>
    <t>Taos</t>
  </si>
  <si>
    <t>Torrance</t>
  </si>
  <si>
    <t>Valencia</t>
  </si>
  <si>
    <t>Bernalillo County</t>
  </si>
  <si>
    <t>Catron County</t>
  </si>
  <si>
    <t>Chaves County</t>
  </si>
  <si>
    <t>Cibola County</t>
  </si>
  <si>
    <t>De Baca County</t>
  </si>
  <si>
    <t>Doña Ana County</t>
  </si>
  <si>
    <t>Eddy County</t>
  </si>
  <si>
    <t>Harding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</si>
  <si>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</si>
  <si>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</si>
  <si>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</si>
  <si>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</si>
  <si>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</si>
  <si>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</si>
  <si>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</si>
  <si>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Roosevelt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</si>
  <si>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</si>
  <si>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</si>
  <si>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</si>
  <si>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</si>
  <si>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</si>
  <si>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</si>
  <si>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</si>
  <si>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</si>
  <si>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</si>
  <si>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</si>
  <si>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</si>
  <si>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</si>
  <si>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</si>
  <si>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</si>
  <si>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</si>
  <si>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</si>
  <si>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</si>
  <si>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Nassau County</t>
  </si>
  <si>
    <t>Niagara County</t>
  </si>
  <si>
    <t>Oneida County</t>
  </si>
  <si>
    <t>Onondaga County</t>
  </si>
  <si>
    <t>Ontario County</t>
  </si>
  <si>
    <t>Orleans County</t>
  </si>
  <si>
    <t>Oswego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</si>
  <si>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</si>
  <si>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</si>
  <si>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</si>
  <si>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</si>
  <si>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</si>
  <si>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</si>
  <si>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</si>
  <si>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Suffolk County</t>
  </si>
  <si>
    <t>Tioga County</t>
  </si>
  <si>
    <t>Tompkins County</t>
  </si>
  <si>
    <t>Ulster County</t>
  </si>
  <si>
    <t>Westchester County</t>
  </si>
  <si>
    <t>Yates County</t>
  </si>
  <si>
    <t>Bronx</t>
  </si>
  <si>
    <t>Queens</t>
  </si>
  <si>
    <t>Category</t>
  </si>
  <si>
    <t>Alamance</t>
  </si>
  <si>
    <t>Substantiated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</si>
  <si>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</si>
  <si>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</si>
  <si>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</si>
  <si>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</si>
  <si>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</si>
  <si>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</si>
  <si>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</si>
  <si>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</si>
  <si>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</si>
  <si>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</si>
  <si>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</si>
  <si>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</si>
  <si>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</si>
  <si>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</si>
  <si>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</si>
  <si>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Cleveland</t>
  </si>
  <si>
    <t>Columbus</t>
  </si>
  <si>
    <t>Craven</t>
  </si>
  <si>
    <t>Currituck</t>
  </si>
  <si>
    <t>Dare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</si>
  <si>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</si>
  <si>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</si>
  <si>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</si>
  <si>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</si>
  <si>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</si>
  <si>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</si>
  <si>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</si>
  <si>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</si>
  <si>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</si>
  <si>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</si>
  <si>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Hertford</t>
  </si>
  <si>
    <t>Hoke</t>
  </si>
  <si>
    <t>Hyde</t>
  </si>
  <si>
    <t>Iredell</t>
  </si>
  <si>
    <t>Johnston</t>
  </si>
  <si>
    <t>Lenoir</t>
  </si>
  <si>
    <t>Mecklenburg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</si>
  <si>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</si>
  <si>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</si>
  <si>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</si>
  <si>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</si>
  <si>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</si>
  <si>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</si>
  <si>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</si>
  <si>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</si>
  <si>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</si>
  <si>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</si>
  <si>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</si>
  <si>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</si>
  <si>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</si>
  <si>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</si>
  <si>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</si>
  <si>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</si>
  <si>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</si>
  <si>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</si>
  <si>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</si>
  <si>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</si>
  <si>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</si>
  <si>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</si>
  <si>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</si>
  <si>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</si>
  <si>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</si>
  <si>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</si>
  <si>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</si>
  <si>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</si>
  <si>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</si>
  <si>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</si>
  <si>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</si>
  <si>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</si>
  <si>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</si>
  <si>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</si>
  <si>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</si>
  <si>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</si>
  <si>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</si>
  <si>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</si>
  <si>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</si>
  <si>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Cleveland County</t>
  </si>
  <si>
    <t>Columbus County</t>
  </si>
  <si>
    <t>Craven County</t>
  </si>
  <si>
    <t>Currituck County</t>
  </si>
  <si>
    <t>Dare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</si>
  <si>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</si>
  <si>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</si>
  <si>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</si>
  <si>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</si>
  <si>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</si>
  <si>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</si>
  <si>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</si>
  <si>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</si>
  <si>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</si>
  <si>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</si>
  <si>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Hertford County</t>
  </si>
  <si>
    <t>Hoke County</t>
  </si>
  <si>
    <t>Hyde County</t>
  </si>
  <si>
    <t>Iredell County</t>
  </si>
  <si>
    <t>Johnston County</t>
  </si>
  <si>
    <t>Lenoir County</t>
  </si>
  <si>
    <t>Mecklenburg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</si>
  <si>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</si>
  <si>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</si>
  <si>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</si>
  <si>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</si>
  <si>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</si>
  <si>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</si>
  <si>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</si>
  <si>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</si>
  <si>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</si>
  <si>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</si>
  <si>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</si>
  <si>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</si>
  <si>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</si>
  <si>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</si>
  <si>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</si>
  <si>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</si>
  <si>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</si>
  <si>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</si>
  <si>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</si>
  <si>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</si>
  <si>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</si>
  <si>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</si>
  <si>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</si>
  <si>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</si>
  <si>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</si>
  <si>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</si>
  <si>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</si>
  <si>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</si>
  <si>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</si>
  <si>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</si>
  <si>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</si>
  <si>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</si>
  <si>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</si>
  <si>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</si>
  <si>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</si>
  <si>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Golden Valley</t>
  </si>
  <si>
    <t>Grand Forks</t>
  </si>
  <si>
    <t>Griggs</t>
  </si>
  <si>
    <t>Hettinger</t>
  </si>
  <si>
    <t>Kidder</t>
  </si>
  <si>
    <t>LaMoure</t>
  </si>
  <si>
    <t>McHenry</t>
  </si>
  <si>
    <t>McKenzie</t>
  </si>
  <si>
    <t>Morton</t>
  </si>
  <si>
    <t>Mountrail</t>
  </si>
  <si>
    <t>Oliver</t>
  </si>
  <si>
    <t>Pembina</t>
  </si>
  <si>
    <t>Ransom</t>
  </si>
  <si>
    <t>Richland</t>
  </si>
  <si>
    <t>Rolette</t>
  </si>
  <si>
    <t>Sargent</t>
  </si>
  <si>
    <t>Slope</t>
  </si>
  <si>
    <t>Stark</t>
  </si>
  <si>
    <t>Stutsman</t>
  </si>
  <si>
    <t>Towner</t>
  </si>
  <si>
    <t>Traill</t>
  </si>
  <si>
    <t>Walsh</t>
  </si>
  <si>
    <t>Williams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</si>
  <si>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</si>
  <si>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</si>
  <si>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</si>
  <si>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</si>
  <si>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</si>
  <si>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</si>
  <si>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</si>
  <si>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</si>
  <si>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</si>
  <si>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</si>
  <si>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</si>
  <si>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</si>
  <si>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Golden Valley County</t>
  </si>
  <si>
    <t>Grand Forks County</t>
  </si>
  <si>
    <t>Griggs County</t>
  </si>
  <si>
    <t>Hettinger County</t>
  </si>
  <si>
    <t>Kidder County</t>
  </si>
  <si>
    <t>LaMoure County</t>
  </si>
  <si>
    <t>McHenry County</t>
  </si>
  <si>
    <t>McKenzie County</t>
  </si>
  <si>
    <t>Morton County</t>
  </si>
  <si>
    <t>Mountrail County</t>
  </si>
  <si>
    <t>Oliver County</t>
  </si>
  <si>
    <t>Pembina County</t>
  </si>
  <si>
    <t>Ransom County</t>
  </si>
  <si>
    <t>Richland County</t>
  </si>
  <si>
    <t>Rolette County</t>
  </si>
  <si>
    <t>Sargent County</t>
  </si>
  <si>
    <t>Slope County</t>
  </si>
  <si>
    <t>Stark County</t>
  </si>
  <si>
    <t>Stutsman County</t>
  </si>
  <si>
    <t>Towner County</t>
  </si>
  <si>
    <t>Traill County</t>
  </si>
  <si>
    <t>Walsh County</t>
  </si>
  <si>
    <t>Williams County</t>
  </si>
  <si>
    <t>Ashland</t>
  </si>
  <si>
    <t>Ashtabula</t>
  </si>
  <si>
    <t>Athens</t>
  </si>
  <si>
    <t>Auglaize</t>
  </si>
  <si>
    <t>Belmont</t>
  </si>
  <si>
    <t>Champaign</t>
  </si>
  <si>
    <t>Clermont</t>
  </si>
  <si>
    <t>Columbiana</t>
  </si>
  <si>
    <t>Coshocton</t>
  </si>
  <si>
    <t>Cuyahoga</t>
  </si>
  <si>
    <t>Darke</t>
  </si>
  <si>
    <t>Defiance</t>
  </si>
  <si>
    <t>Erie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</si>
  <si>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</si>
  <si>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</si>
  <si>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</si>
  <si>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</si>
  <si>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</si>
  <si>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</si>
  <si>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</si>
  <si>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</si>
  <si>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Muskingum</t>
  </si>
  <si>
    <t>Pickaway</t>
  </si>
  <si>
    <t>Portage</t>
  </si>
  <si>
    <t>Preble</t>
  </si>
  <si>
    <t>Ross</t>
  </si>
  <si>
    <t>Sandusky</t>
  </si>
  <si>
    <t>Scioto</t>
  </si>
  <si>
    <t>Seneca</t>
  </si>
  <si>
    <t>Trumbull</t>
  </si>
  <si>
    <t>Tuscarawas</t>
  </si>
  <si>
    <t>Van Wert</t>
  </si>
  <si>
    <t>Vinton</t>
  </si>
  <si>
    <t>Wyandot</t>
  </si>
  <si>
    <t>Ashland County</t>
  </si>
  <si>
    <t>Ashtabula County</t>
  </si>
  <si>
    <t>Athens County</t>
  </si>
  <si>
    <t>Auglaize County</t>
  </si>
  <si>
    <t>Belmont County</t>
  </si>
  <si>
    <t>Champaign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</si>
  <si>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</si>
  <si>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</si>
  <si>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</si>
  <si>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</si>
  <si>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</si>
  <si>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</si>
  <si>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</si>
  <si>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</si>
  <si>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</si>
  <si>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</si>
  <si>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</si>
  <si>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</si>
  <si>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</si>
  <si>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</si>
  <si>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</si>
  <si>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</si>
  <si>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</si>
  <si>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</si>
  <si>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</si>
  <si>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</si>
  <si>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</si>
  <si>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</si>
  <si>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</si>
  <si>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</si>
  <si>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</si>
  <si>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</si>
  <si>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</si>
  <si>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</si>
  <si>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</si>
  <si>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</si>
  <si>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</si>
  <si>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</si>
  <si>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</si>
  <si>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</si>
  <si>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</si>
  <si>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</si>
  <si>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</si>
  <si>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</si>
  <si>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</si>
  <si>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</si>
  <si>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</si>
  <si>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Harper County</t>
  </si>
  <si>
    <t>Hughes County</t>
  </si>
  <si>
    <t>Kay County</t>
  </si>
  <si>
    <t>Kingfisher County</t>
  </si>
  <si>
    <t>Latimer County</t>
  </si>
  <si>
    <t>Le Flore County</t>
  </si>
  <si>
    <t>Love County</t>
  </si>
  <si>
    <t>Major County</t>
  </si>
  <si>
    <t>Mayes County</t>
  </si>
  <si>
    <t>McClain County</t>
  </si>
  <si>
    <t>McCurtain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</si>
  <si>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</si>
  <si>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</si>
  <si>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</si>
  <si>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</si>
  <si>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</si>
  <si>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</si>
  <si>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</si>
  <si>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Pottawatomie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</si>
  <si>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</si>
  <si>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</si>
  <si>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</si>
  <si>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</si>
  <si>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</si>
  <si>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</si>
  <si>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</si>
  <si>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</si>
  <si>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</si>
  <si>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</si>
  <si>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Cases</t>
  </si>
  <si>
    <t>Adams (Rural-Mix)</t>
  </si>
  <si>
    <t>Substantiated Cases of Child Abuse</t>
  </si>
  <si>
    <t>Allegheny (Urban)</t>
  </si>
  <si>
    <t>Armstrong (Rural-Mix)</t>
  </si>
  <si>
    <t>Beaver (Urban-Mix)</t>
  </si>
  <si>
    <t>Bedford (Rural-Mix)</t>
  </si>
  <si>
    <t>Berks (Urban-Mix)</t>
  </si>
  <si>
    <t>Blair (Urban-Mix)</t>
  </si>
  <si>
    <t>Bradford (Rural)</t>
  </si>
  <si>
    <t>Bucks (Urban)</t>
  </si>
  <si>
    <t>Butler (Rural-Mix)</t>
  </si>
  <si>
    <t>Cambria (Rural-Mix)</t>
  </si>
  <si>
    <t>Cameron (Rural)</t>
  </si>
  <si>
    <t>Carbon (Rural-Mix)</t>
  </si>
  <si>
    <t>Centre (Urban-Mix)</t>
  </si>
  <si>
    <t>Chester (Urban)</t>
  </si>
  <si>
    <t>Clarion (Rural)</t>
  </si>
  <si>
    <t>Clearfield (Rural)</t>
  </si>
  <si>
    <t>Clinton (Rural)</t>
  </si>
  <si>
    <t>Columbia (Urban-Mix)</t>
  </si>
  <si>
    <t>Crawford (Rural)</t>
  </si>
  <si>
    <t>Cumberland (Urban-Mix)</t>
  </si>
  <si>
    <t>Dauphin (Urban)</t>
  </si>
  <si>
    <t>Delaware (Urban)</t>
  </si>
  <si>
    <t>Elk (Rural)</t>
  </si>
  <si>
    <t>Erie (Urban-Mix)</t>
  </si>
  <si>
    <t>Fayette (Rural-Mix)</t>
  </si>
  <si>
    <t>Forest (Rural)</t>
  </si>
  <si>
    <t>Franklin (Rural-Mix)</t>
  </si>
  <si>
    <t>Fulton (Rural)</t>
  </si>
  <si>
    <t>Greene (Rural)</t>
  </si>
  <si>
    <t>Huntingdon (Rural)</t>
  </si>
  <si>
    <t>Indiana (Rural)</t>
  </si>
  <si>
    <t>Jefferson (Rural)</t>
  </si>
  <si>
    <t>Juniata (Rural)</t>
  </si>
  <si>
    <t>Lackawanna (Urban)</t>
  </si>
  <si>
    <t>Lancaster (Urban)</t>
  </si>
  <si>
    <t>Lawrence (Rural-Mix)</t>
  </si>
  <si>
    <t>Lebanon (Urban-Mix)</t>
  </si>
  <si>
    <t>Lehigh (Urban)</t>
  </si>
  <si>
    <t>Luzerne (Urban)</t>
  </si>
  <si>
    <t>Lycoming (Rural-Mix)</t>
  </si>
  <si>
    <t>McKean (Rural)</t>
  </si>
  <si>
    <t>Mercer (Rural-Mix)</t>
  </si>
  <si>
    <t>Mifflin (Rural)</t>
  </si>
  <si>
    <t>Monroe (Rural-Mix)</t>
  </si>
  <si>
    <t>Montgomery (Urban)</t>
  </si>
  <si>
    <t>Montour (Rural-Mix)</t>
  </si>
  <si>
    <t>Northampton (Urban)</t>
  </si>
  <si>
    <t>Northumberland (Rural-Mix)</t>
  </si>
  <si>
    <t>Perry (Rural-Mix)</t>
  </si>
  <si>
    <t>Philadelphia (Urban)</t>
  </si>
  <si>
    <t>Pike (Rural)</t>
  </si>
  <si>
    <t>Potter (Rural)</t>
  </si>
  <si>
    <t>Schuylkill (Rural-Mix)</t>
  </si>
  <si>
    <t>Snyder (Rural)</t>
  </si>
  <si>
    <t>Somerset (Rural-Mix)</t>
  </si>
  <si>
    <t>Sullivan (Rural)</t>
  </si>
  <si>
    <t>Susquehanna (Rural-Mix)</t>
  </si>
  <si>
    <t>Tioga (Rural)</t>
  </si>
  <si>
    <t>Union (Rural)</t>
  </si>
  <si>
    <t>Venango (Rural)</t>
  </si>
  <si>
    <t>Warren (Rural)</t>
  </si>
  <si>
    <t>Washington (Urban-Mix)</t>
  </si>
  <si>
    <t>Wayne (Rural-Mix)</t>
  </si>
  <si>
    <t>Westmoreland (Urban-Mix)</t>
  </si>
  <si>
    <t>Wyoming (Rural-Mix)</t>
  </si>
  <si>
    <t>York (Urban-Mix)</t>
  </si>
  <si>
    <t>2018</t>
  </si>
  <si>
    <t>Allegheny County</t>
  </si>
  <si>
    <t>Berks County</t>
  </si>
  <si>
    <t>Blair County</t>
  </si>
  <si>
    <t>Bradford County</t>
  </si>
  <si>
    <t>Bucks County</t>
  </si>
  <si>
    <t>Cambria County</t>
  </si>
  <si>
    <t>Carbon County</t>
  </si>
  <si>
    <t>Centre County</t>
  </si>
  <si>
    <t>Clarion County</t>
  </si>
  <si>
    <t>Clearfield County</t>
  </si>
  <si>
    <t>Dauphin County</t>
  </si>
  <si>
    <t>Elk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</si>
  <si>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</si>
  <si>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</si>
  <si>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</si>
  <si>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</si>
  <si>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</si>
  <si>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</si>
  <si>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</si>
  <si>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</si>
  <si>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</si>
  <si>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</si>
  <si>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</si>
  <si>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</si>
  <si>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</si>
  <si>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</si>
  <si>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Schuylkill County</t>
  </si>
  <si>
    <t>Snyder County</t>
  </si>
  <si>
    <t>Susquehanna County</t>
  </si>
  <si>
    <t>Venango County</t>
  </si>
  <si>
    <t>Westmoreland County</t>
  </si>
  <si>
    <t>SFY2019 - 2020</t>
  </si>
  <si>
    <t>Abbeville</t>
  </si>
  <si>
    <t>Aiken</t>
  </si>
  <si>
    <t>Allendale</t>
  </si>
  <si>
    <t>Bamberg</t>
  </si>
  <si>
    <t>Barnwell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</si>
  <si>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</si>
  <si>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</si>
  <si>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</si>
  <si>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</si>
  <si>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</si>
  <si>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</si>
  <si>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</si>
  <si>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</si>
  <si>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</si>
  <si>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</si>
  <si>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Greenwood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</si>
  <si>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</si>
  <si>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</si>
  <si>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</si>
  <si>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</si>
  <si>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</si>
  <si>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</si>
  <si>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</si>
  <si>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</si>
  <si>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</si>
  <si>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</si>
  <si>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</si>
  <si>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Abbeville County</t>
  </si>
  <si>
    <t>Aiken County</t>
  </si>
  <si>
    <t>Allendale County</t>
  </si>
  <si>
    <t>Bamberg County</t>
  </si>
  <si>
    <t>Barnwell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</si>
  <si>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</si>
  <si>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</si>
  <si>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</si>
  <si>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</si>
  <si>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</si>
  <si>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</si>
  <si>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</si>
  <si>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</si>
  <si>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</si>
  <si>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</si>
  <si>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Greenwood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</si>
  <si>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</si>
  <si>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</si>
  <si>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</si>
  <si>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</si>
  <si>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</si>
  <si>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</si>
  <si>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</si>
  <si>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</si>
  <si>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</si>
  <si>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</si>
  <si>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</si>
  <si>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Beaver</t>
  </si>
  <si>
    <t>Box Elder</t>
  </si>
  <si>
    <t>Cache</t>
  </si>
  <si>
    <t>Carbon</t>
  </si>
  <si>
    <t>Daggett</t>
  </si>
  <si>
    <t>Duchesne</t>
  </si>
  <si>
    <t>Emery</t>
  </si>
  <si>
    <t>Grand</t>
  </si>
  <si>
    <t>Juab</t>
  </si>
  <si>
    <t>Kane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</si>
  <si>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</si>
  <si>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</si>
  <si>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</si>
  <si>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</si>
  <si>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</si>
  <si>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</si>
  <si>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</si>
  <si>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</si>
  <si>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</si>
  <si>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Box Elder County</t>
  </si>
  <si>
    <t>Cache County</t>
  </si>
  <si>
    <t>Daggett County</t>
  </si>
  <si>
    <t>Duchesne County</t>
  </si>
  <si>
    <t>Emery County</t>
  </si>
  <si>
    <t>Juab County</t>
  </si>
  <si>
    <t>Kane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</si>
  <si>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</si>
  <si>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</si>
  <si>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</si>
  <si>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</si>
  <si>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</si>
  <si>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</si>
  <si>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</si>
  <si>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</si>
  <si>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</si>
  <si>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</si>
  <si>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Investigation type</t>
  </si>
  <si>
    <t>SFY 2020</t>
  </si>
  <si>
    <t>Accomack</t>
  </si>
  <si>
    <t>Founded</t>
  </si>
  <si>
    <t>Children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</si>
  <si>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</si>
  <si>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</si>
  <si>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</si>
  <si>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</si>
  <si>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</si>
  <si>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</si>
  <si>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</si>
  <si>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</si>
  <si>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</si>
  <si>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Bristol</t>
  </si>
  <si>
    <t>Buckingham</t>
  </si>
  <si>
    <t>Charles City</t>
  </si>
  <si>
    <t>Charlotte</t>
  </si>
  <si>
    <t>Charlottesville</t>
  </si>
  <si>
    <t>Chesapeake</t>
  </si>
  <si>
    <t>Colonial Heights</t>
  </si>
  <si>
    <t>Craig</t>
  </si>
  <si>
    <t>Culpeper</t>
  </si>
  <si>
    <t>Danville</t>
  </si>
  <si>
    <t>Dickenson</t>
  </si>
  <si>
    <t>Dinwiddie</t>
  </si>
  <si>
    <t>Emporia</t>
  </si>
  <si>
    <t>Fairfax City</t>
  </si>
  <si>
    <t>Fairfax County</t>
  </si>
  <si>
    <t>Falls Church</t>
  </si>
  <si>
    <t>Fauquier</t>
  </si>
  <si>
    <t>Fluvanna</t>
  </si>
  <si>
    <t>Franklin City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</si>
  <si>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</si>
  <si>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</si>
  <si>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</si>
  <si>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</si>
  <si>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</si>
  <si>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</si>
  <si>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</si>
  <si>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</si>
  <si>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</si>
  <si>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</si>
  <si>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</si>
  <si>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</si>
  <si>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</si>
  <si>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</si>
  <si>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</si>
  <si>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</si>
  <si>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</t>
  </si>
  <si>
    <t>Manassas Park</t>
  </si>
  <si>
    <t>Martinsville</t>
  </si>
  <si>
    <t>Mathews</t>
  </si>
  <si>
    <t>New Kent</t>
  </si>
  <si>
    <t>Newport News</t>
  </si>
  <si>
    <t>Norfolk</t>
  </si>
  <si>
    <t>Northumberland</t>
  </si>
  <si>
    <t>Norton</t>
  </si>
  <si>
    <t>Nottoway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</si>
  <si>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</si>
  <si>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</si>
  <si>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</si>
  <si>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</si>
  <si>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</si>
  <si>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</si>
  <si>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</si>
  <si>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</si>
  <si>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</si>
  <si>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</si>
  <si>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</si>
  <si>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Richmond City</t>
  </si>
  <si>
    <t>Roanoke City</t>
  </si>
  <si>
    <t>Roanoke County</t>
  </si>
  <si>
    <t>Rockbridge</t>
  </si>
  <si>
    <t>Shenandoah</t>
  </si>
  <si>
    <t>Smyth</t>
  </si>
  <si>
    <t>Southampton</t>
  </si>
  <si>
    <t>Spotsylvania</t>
  </si>
  <si>
    <t>Stafford</t>
  </si>
  <si>
    <t>Staunton</t>
  </si>
  <si>
    <t>Suffolk</t>
  </si>
  <si>
    <t>Tazewell</t>
  </si>
  <si>
    <t>Virginia Beach</t>
  </si>
  <si>
    <t>Waynesboro</t>
  </si>
  <si>
    <t>Westmoreland</t>
  </si>
  <si>
    <t>Winchester</t>
  </si>
  <si>
    <t>Wythe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</si>
  <si>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</si>
  <si>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</si>
  <si>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</si>
  <si>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</si>
  <si>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</si>
  <si>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</si>
  <si>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</si>
  <si>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</si>
  <si>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</si>
  <si>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</si>
  <si>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</si>
  <si>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Charlotte County</t>
  </si>
  <si>
    <t>Culpeper County</t>
  </si>
  <si>
    <t>Dickenson County</t>
  </si>
  <si>
    <t>Dinwiddie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</si>
  <si>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</si>
  <si>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</si>
  <si>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</si>
  <si>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</si>
  <si>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</si>
  <si>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</si>
  <si>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</si>
  <si>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</si>
  <si>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</si>
  <si>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</si>
  <si>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</si>
  <si>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</si>
  <si>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</si>
  <si>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</si>
  <si>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</si>
  <si>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</si>
  <si>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</si>
  <si>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</si>
  <si>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</si>
  <si>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</si>
  <si>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</si>
  <si>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Rappahannock County</t>
  </si>
  <si>
    <t>Rockbridge County</t>
  </si>
  <si>
    <t>Shenandoah County</t>
  </si>
  <si>
    <t>Smyth County</t>
  </si>
  <si>
    <t>Southampton County</t>
  </si>
  <si>
    <t>Spotsylvania County</t>
  </si>
  <si>
    <t>Tazewell County</t>
  </si>
  <si>
    <t>Wythe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</si>
  <si>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</si>
  <si>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</si>
  <si>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</si>
  <si>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</si>
  <si>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</si>
  <si>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</si>
  <si>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</si>
  <si>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</si>
  <si>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</si>
  <si>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</si>
  <si>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</si>
  <si>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</si>
  <si>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</si>
  <si>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</si>
  <si>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</si>
  <si>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</si>
  <si>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</si>
  <si>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</si>
  <si>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</si>
  <si>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</si>
  <si>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</si>
  <si>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</si>
  <si>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</si>
  <si>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</si>
  <si>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</si>
  <si>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</si>
  <si>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</si>
  <si>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</si>
  <si>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</si>
  <si>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</si>
  <si>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</si>
  <si>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</si>
  <si>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</si>
  <si>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</si>
  <si>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</si>
  <si>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</si>
  <si>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</si>
  <si>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Prince William County</t>
  </si>
  <si>
    <t>Stafford County</t>
  </si>
  <si>
    <t>Lynchburg city</t>
  </si>
  <si>
    <t>Virginia Beach city/county</t>
  </si>
  <si>
    <t>Norfolk city/county</t>
  </si>
  <si>
    <t>Chesapeake city/county</t>
  </si>
  <si>
    <t>Richmond city/county</t>
  </si>
  <si>
    <t>Newport News city/county</t>
  </si>
  <si>
    <t>Alexandria city/county</t>
  </si>
  <si>
    <t>Hampton city/county</t>
  </si>
  <si>
    <t>Roanoke city/county</t>
  </si>
  <si>
    <t>Portsmouth city/county</t>
  </si>
  <si>
    <t>Suffolk city/county</t>
  </si>
  <si>
    <t>Lynchburg city/county</t>
  </si>
  <si>
    <t>Harrisonburg city/county</t>
  </si>
  <si>
    <t>Charlottesville city/county</t>
  </si>
  <si>
    <t>Manassas city/county</t>
  </si>
  <si>
    <t>Danville city/county</t>
  </si>
  <si>
    <t>Petersburg city/county</t>
  </si>
  <si>
    <t>Fredericksburg city/county</t>
  </si>
  <si>
    <t>Winchester city/county</t>
  </si>
  <si>
    <t>Salem city/county</t>
  </si>
  <si>
    <t>Staunton city/county</t>
  </si>
  <si>
    <t>Fairfax city/county</t>
  </si>
  <si>
    <t>Hopewell city/county</t>
  </si>
  <si>
    <t>Waynesboro city/county</t>
  </si>
  <si>
    <t>Radford city/county</t>
  </si>
  <si>
    <t>Manassas Park city/county</t>
  </si>
  <si>
    <t>Colonial Heights city/county</t>
  </si>
  <si>
    <t>Bristol city/county</t>
  </si>
  <si>
    <t>Williamsburg city/county</t>
  </si>
  <si>
    <t>Falls Church city/county</t>
  </si>
  <si>
    <t>Martinsville city/county</t>
  </si>
  <si>
    <t>Poquoson city/county</t>
  </si>
  <si>
    <t>Franklin city/county</t>
  </si>
  <si>
    <t>Lexington city/county</t>
  </si>
  <si>
    <t>Buena Vista city/county</t>
  </si>
  <si>
    <t>Galax city/county</t>
  </si>
  <si>
    <t>Covington city/county</t>
  </si>
  <si>
    <t>Emporia city/county</t>
  </si>
  <si>
    <t>Norton city/county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</si>
  <si>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</si>
  <si>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</si>
  <si>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</si>
  <si>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</si>
  <si>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</si>
  <si>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</si>
  <si>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</si>
  <si>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</si>
  <si>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Forest</t>
  </si>
  <si>
    <t>Green Lake</t>
  </si>
  <si>
    <t>Juneau</t>
  </si>
  <si>
    <t>Kenosha</t>
  </si>
  <si>
    <t>Kewaunee</t>
  </si>
  <si>
    <t>LaCrosse</t>
  </si>
  <si>
    <t>Langlade</t>
  </si>
  <si>
    <t>Manitowoc</t>
  </si>
  <si>
    <t>Marathon</t>
  </si>
  <si>
    <t>Marinette</t>
  </si>
  <si>
    <t>Milwaukee</t>
  </si>
  <si>
    <t>Oconto</t>
  </si>
  <si>
    <t>Oneida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</si>
  <si>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</si>
  <si>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</si>
  <si>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</si>
  <si>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</si>
  <si>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</si>
  <si>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</si>
  <si>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</si>
  <si>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</si>
  <si>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</si>
  <si>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</si>
  <si>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</si>
  <si>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</si>
  <si>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Walworth</t>
  </si>
  <si>
    <t>Washburn</t>
  </si>
  <si>
    <t>Waukesha</t>
  </si>
  <si>
    <t>Waupaca</t>
  </si>
  <si>
    <t>Waushara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</si>
  <si>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</si>
  <si>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</si>
  <si>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</si>
  <si>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</si>
  <si>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</si>
  <si>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</si>
  <si>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</si>
  <si>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</si>
  <si>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</si>
  <si>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</si>
  <si>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</si>
  <si>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</si>
  <si>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</si>
  <si>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</si>
  <si>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</si>
  <si>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</si>
  <si>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</si>
  <si>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</si>
  <si>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</si>
  <si>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</si>
  <si>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</si>
  <si>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</si>
  <si>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</si>
  <si>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</si>
  <si>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</si>
  <si>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</si>
  <si>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</si>
  <si>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</si>
  <si>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</si>
  <si>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</si>
  <si>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</si>
  <si>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Walworth County</t>
  </si>
  <si>
    <t>Washburn County</t>
  </si>
  <si>
    <t>Waukesha County</t>
  </si>
  <si>
    <t>Waupaca County</t>
  </si>
  <si>
    <t>Waushara County</t>
  </si>
  <si>
    <t>Biden Done</t>
  </si>
  <si>
    <t>Trump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</si>
</sst>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00000000"/>
    <numFmt numFmtId="169" formatCode="#,##0.000"/>
  </numFmts>
  <fonts count="3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A2A2A"/>
      <name val="Var(--wp--preset--font-family--"/>
    </font>
    <font>
      <u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3"/>
      <color rgb="FF666666"/>
      <name val="Helvetica Neue"/>
      <family val="2"/>
    </font>
    <font>
      <sz val="16"/>
      <name val="Helvetica Neue"/>
      <family val="2"/>
    </font>
    <font>
      <sz val="16"/>
      <color rgb="FF666666"/>
      <name val="Helvetica Neue"/>
      <family val="2"/>
    </font>
    <font>
      <b/>
      <sz val="16"/>
      <name val="Helvetica Neue"/>
      <family val="2"/>
    </font>
    <font>
      <sz val="11"/>
      <color theme="1"/>
      <name val="Calibri"/>
      <family val="2"/>
    </font>
    <font>
      <sz val="10"/>
      <color rgb="FF2A2A2A"/>
      <name val="Var(--wp--preset--font-family--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rgb="FF395067"/>
      <name val="Helvetica"/>
      <family val="2"/>
    </font>
    <font>
      <sz val="12"/>
      <color rgb="FF666666"/>
      <name val="Helvetica Neue"/>
      <family val="2"/>
    </font>
    <font>
      <sz val="12"/>
      <name val="Arial"/>
      <family val="2"/>
    </font>
    <font>
      <b/>
      <sz val="16"/>
      <color rgb="FF395067"/>
      <name val="Inherit"/>
    </font>
    <font>
      <sz val="10"/>
      <color rgb="FF606060"/>
      <name val="Trebuchet MS"/>
      <family val="2"/>
    </font>
    <font>
      <b/>
      <sz val="16"/>
      <color rgb="FFFF0000"/>
      <name val="Trebuchet MS"/>
      <family val="2"/>
    </font>
    <font>
      <b/>
      <sz val="8"/>
      <color rgb="FFFFFFFF"/>
      <name val="Inherit"/>
    </font>
    <font>
      <sz val="8"/>
      <name val="Arial"/>
      <family val="2"/>
    </font>
    <font>
      <b/>
      <sz val="16"/>
      <name val="Trebuchet MS"/>
      <family val="2"/>
    </font>
    <font>
      <b/>
      <sz val="16"/>
      <color theme="1" tint="0.249977111117893"/>
      <name val="Trebuchet MS"/>
      <family val="2"/>
    </font>
    <font>
      <sz val="10"/>
      <color theme="1" tint="0.249977111117893"/>
      <name val="Trebuchet MS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0"/>
      <color theme="1"/>
      <name val="Arial"/>
      <family val="2"/>
    </font>
    <font>
      <sz val="10"/>
      <color theme="5" tint="0.59999389629810485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10" fontId="0" fillId="0" borderId="0" xfId="1" applyNumberFormat="1" applyFont="1"/>
    <xf numFmtId="0" fontId="3" fillId="0" borderId="0" xfId="0" applyFont="1"/>
    <xf numFmtId="9" fontId="0" fillId="0" borderId="0" xfId="1" applyNumberFormat="1" applyFont="1"/>
    <xf numFmtId="0" fontId="0" fillId="0" borderId="0" xfId="1" applyNumberFormat="1" applyFont="1"/>
    <xf numFmtId="0" fontId="3" fillId="0" borderId="0" xfId="1" applyNumberFormat="1" applyFont="1"/>
    <xf numFmtId="49" fontId="5" fillId="0" borderId="1" xfId="0" applyNumberFormat="1" applyFont="1" applyBorder="1"/>
    <xf numFmtId="0" fontId="6" fillId="2" borderId="0" xfId="0" applyFont="1" applyFill="1"/>
    <xf numFmtId="49" fontId="6" fillId="2" borderId="0" xfId="0" applyNumberFormat="1" applyFont="1" applyFill="1"/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10" fontId="10" fillId="0" borderId="0" xfId="0" applyNumberFormat="1" applyFont="1"/>
    <xf numFmtId="0" fontId="9" fillId="0" borderId="0" xfId="0" applyFont="1"/>
    <xf numFmtId="2" fontId="6" fillId="2" borderId="0" xfId="0" applyNumberFormat="1" applyFont="1" applyFill="1"/>
    <xf numFmtId="2" fontId="0" fillId="0" borderId="0" xfId="0" applyNumberFormat="1"/>
    <xf numFmtId="49" fontId="5" fillId="0" borderId="2" xfId="0" applyNumberFormat="1" applyFont="1" applyBorder="1"/>
    <xf numFmtId="0" fontId="6" fillId="2" borderId="0" xfId="0" applyFont="1" applyFill="1" applyBorder="1"/>
    <xf numFmtId="49" fontId="6" fillId="2" borderId="0" xfId="0" applyNumberFormat="1" applyFont="1" applyFill="1" applyBorder="1"/>
    <xf numFmtId="164" fontId="6" fillId="2" borderId="0" xfId="0" applyNumberFormat="1" applyFont="1" applyFill="1"/>
    <xf numFmtId="164" fontId="6" fillId="0" borderId="0" xfId="0" applyNumberFormat="1" applyFont="1"/>
    <xf numFmtId="164" fontId="6" fillId="2" borderId="0" xfId="0" applyNumberFormat="1" applyFont="1" applyFill="1" applyBorder="1"/>
    <xf numFmtId="164" fontId="0" fillId="0" borderId="0" xfId="0" applyNumberFormat="1"/>
    <xf numFmtId="49" fontId="0" fillId="0" borderId="0" xfId="0" applyNumberFormat="1"/>
    <xf numFmtId="0" fontId="11" fillId="2" borderId="0" xfId="0" applyFont="1" applyFill="1"/>
    <xf numFmtId="49" fontId="11" fillId="2" borderId="0" xfId="0" applyNumberFormat="1" applyFont="1" applyFill="1"/>
    <xf numFmtId="0" fontId="11" fillId="0" borderId="0" xfId="0" applyFont="1"/>
    <xf numFmtId="49" fontId="11" fillId="0" borderId="0" xfId="0" applyNumberFormat="1" applyFont="1"/>
    <xf numFmtId="0" fontId="11" fillId="0" borderId="2" xfId="0" applyFont="1" applyBorder="1"/>
    <xf numFmtId="49" fontId="11" fillId="0" borderId="2" xfId="0" applyNumberFormat="1" applyFont="1" applyBorder="1"/>
    <xf numFmtId="164" fontId="5" fillId="0" borderId="2" xfId="0" applyNumberFormat="1" applyFont="1" applyBorder="1" applyAlignment="1">
      <alignment wrapText="1"/>
    </xf>
    <xf numFmtId="0" fontId="0" fillId="3" borderId="0" xfId="0" applyFill="1"/>
    <xf numFmtId="0" fontId="11" fillId="2" borderId="2" xfId="0" applyFont="1" applyFill="1" applyBorder="1"/>
    <xf numFmtId="49" fontId="11" fillId="2" borderId="2" xfId="0" applyNumberFormat="1" applyFont="1" applyFill="1" applyBorder="1"/>
    <xf numFmtId="2" fontId="11" fillId="2" borderId="0" xfId="0" applyNumberFormat="1" applyFont="1" applyFill="1"/>
    <xf numFmtId="164" fontId="11" fillId="2" borderId="0" xfId="0" applyNumberFormat="1" applyFont="1" applyFill="1"/>
    <xf numFmtId="164" fontId="11" fillId="2" borderId="0" xfId="0" applyNumberFormat="1" applyFont="1" applyFill="1" applyBorder="1"/>
    <xf numFmtId="49" fontId="5" fillId="0" borderId="2" xfId="0" applyNumberFormat="1" applyFont="1" applyBorder="1" applyAlignment="1">
      <alignment wrapText="1"/>
    </xf>
    <xf numFmtId="49" fontId="5" fillId="0" borderId="0" xfId="0" applyNumberFormat="1" applyFont="1" applyBorder="1"/>
    <xf numFmtId="49" fontId="5" fillId="0" borderId="3" xfId="0" applyNumberFormat="1" applyFont="1" applyBorder="1"/>
    <xf numFmtId="9" fontId="12" fillId="0" borderId="0" xfId="1" applyNumberFormat="1" applyFont="1"/>
    <xf numFmtId="0" fontId="14" fillId="4" borderId="0" xfId="0" applyFont="1" applyFill="1"/>
    <xf numFmtId="49" fontId="14" fillId="4" borderId="0" xfId="0" applyNumberFormat="1" applyFont="1" applyFill="1"/>
    <xf numFmtId="0" fontId="14" fillId="0" borderId="0" xfId="0" applyFont="1"/>
    <xf numFmtId="49" fontId="14" fillId="0" borderId="0" xfId="0" applyNumberFormat="1" applyFont="1"/>
    <xf numFmtId="49" fontId="13" fillId="0" borderId="0" xfId="0" applyNumberFormat="1" applyFont="1" applyBorder="1"/>
    <xf numFmtId="0" fontId="15" fillId="0" borderId="0" xfId="0" applyFont="1"/>
    <xf numFmtId="0" fontId="4" fillId="0" borderId="0" xfId="6"/>
    <xf numFmtId="3" fontId="15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167" fontId="16" fillId="0" borderId="0" xfId="0" applyNumberFormat="1" applyFont="1"/>
    <xf numFmtId="167" fontId="17" fillId="0" borderId="0" xfId="0" applyNumberFormat="1" applyFont="1"/>
    <xf numFmtId="0" fontId="6" fillId="0" borderId="2" xfId="0" applyFont="1" applyBorder="1"/>
    <xf numFmtId="49" fontId="6" fillId="0" borderId="2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167" fontId="6" fillId="0" borderId="0" xfId="0" applyNumberFormat="1" applyFont="1"/>
    <xf numFmtId="167" fontId="6" fillId="2" borderId="0" xfId="0" applyNumberFormat="1" applyFont="1" applyFill="1"/>
    <xf numFmtId="167" fontId="9" fillId="0" borderId="0" xfId="0" applyNumberFormat="1" applyFont="1"/>
    <xf numFmtId="2" fontId="10" fillId="0" borderId="0" xfId="0" applyNumberFormat="1" applyFont="1"/>
    <xf numFmtId="2" fontId="8" fillId="0" borderId="0" xfId="0" applyNumberFormat="1" applyFont="1"/>
    <xf numFmtId="0" fontId="6" fillId="2" borderId="2" xfId="0" applyFont="1" applyFill="1" applyBorder="1"/>
    <xf numFmtId="49" fontId="6" fillId="2" borderId="2" xfId="0" applyNumberFormat="1" applyFont="1" applyFill="1" applyBorder="1"/>
    <xf numFmtId="0" fontId="6" fillId="0" borderId="0" xfId="0" applyFont="1" applyBorder="1"/>
    <xf numFmtId="49" fontId="6" fillId="0" borderId="0" xfId="0" applyNumberFormat="1" applyFont="1" applyBorder="1"/>
    <xf numFmtId="164" fontId="12" fillId="0" borderId="0" xfId="1" applyNumberFormat="1" applyFont="1"/>
    <xf numFmtId="49" fontId="13" fillId="0" borderId="4" xfId="0" applyNumberFormat="1" applyFont="1" applyBorder="1"/>
    <xf numFmtId="0" fontId="14" fillId="4" borderId="0" xfId="0" applyFont="1" applyFill="1" applyBorder="1"/>
    <xf numFmtId="49" fontId="14" fillId="4" borderId="0" xfId="0" applyNumberFormat="1" applyFont="1" applyFill="1" applyBorder="1"/>
    <xf numFmtId="2" fontId="14" fillId="4" borderId="0" xfId="0" applyNumberFormat="1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4" fontId="9" fillId="0" borderId="0" xfId="0" applyNumberFormat="1" applyFont="1"/>
    <xf numFmtId="0" fontId="0" fillId="0" borderId="0" xfId="0" applyFill="1"/>
    <xf numFmtId="4" fontId="0" fillId="0" borderId="0" xfId="0" applyNumberFormat="1"/>
    <xf numFmtId="164" fontId="12" fillId="3" borderId="0" xfId="1" applyNumberFormat="1" applyFont="1" applyFill="1"/>
    <xf numFmtId="2" fontId="7" fillId="0" borderId="0" xfId="1" applyNumberFormat="1" applyFont="1"/>
    <xf numFmtId="2" fontId="9" fillId="0" borderId="0" xfId="1" applyNumberFormat="1" applyFont="1"/>
    <xf numFmtId="2" fontId="0" fillId="0" borderId="0" xfId="1" applyNumberFormat="1" applyFont="1"/>
    <xf numFmtId="166" fontId="0" fillId="0" borderId="0" xfId="0" applyNumberFormat="1" applyFill="1"/>
    <xf numFmtId="168" fontId="0" fillId="0" borderId="0" xfId="0" applyNumberFormat="1" applyFill="1"/>
    <xf numFmtId="168" fontId="0" fillId="3" borderId="0" xfId="0" applyNumberFormat="1" applyFill="1"/>
    <xf numFmtId="165" fontId="0" fillId="0" borderId="0" xfId="0" applyNumberFormat="1" applyFill="1"/>
    <xf numFmtId="169" fontId="9" fillId="0" borderId="0" xfId="0" applyNumberFormat="1" applyFont="1"/>
    <xf numFmtId="169" fontId="0" fillId="0" borderId="0" xfId="0" applyNumberFormat="1"/>
    <xf numFmtId="0" fontId="23" fillId="0" borderId="0" xfId="0" applyFont="1"/>
    <xf numFmtId="3" fontId="19" fillId="0" borderId="0" xfId="0" applyNumberFormat="1" applyFont="1"/>
    <xf numFmtId="0" fontId="24" fillId="0" borderId="0" xfId="0" applyFont="1"/>
    <xf numFmtId="0" fontId="25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64" fontId="19" fillId="0" borderId="0" xfId="0" applyNumberFormat="1" applyFont="1"/>
    <xf numFmtId="3" fontId="0" fillId="0" borderId="0" xfId="0" applyNumberFormat="1" applyFill="1"/>
    <xf numFmtId="10" fontId="0" fillId="0" borderId="0" xfId="1" applyNumberFormat="1" applyFont="1" applyFill="1"/>
    <xf numFmtId="9" fontId="0" fillId="0" borderId="0" xfId="1" applyNumberFormat="1" applyFont="1" applyFill="1"/>
    <xf numFmtId="0" fontId="0" fillId="0" borderId="0" xfId="1" applyNumberFormat="1" applyFont="1" applyFill="1"/>
    <xf numFmtId="164" fontId="12" fillId="0" borderId="0" xfId="1" applyNumberFormat="1" applyFont="1" applyFill="1"/>
    <xf numFmtId="9" fontId="12" fillId="0" borderId="0" xfId="1" applyNumberFormat="1" applyFont="1" applyFill="1"/>
    <xf numFmtId="166" fontId="19" fillId="2" borderId="0" xfId="0" applyNumberFormat="1" applyFont="1" applyFill="1"/>
    <xf numFmtId="0" fontId="27" fillId="0" borderId="0" xfId="0" applyFont="1"/>
    <xf numFmtId="3" fontId="26" fillId="0" borderId="0" xfId="0" applyNumberFormat="1" applyFont="1"/>
    <xf numFmtId="0" fontId="26" fillId="0" borderId="0" xfId="0" applyFont="1"/>
    <xf numFmtId="0" fontId="1" fillId="0" borderId="0" xfId="0" applyNumberFormat="1" applyFont="1" applyFill="1" applyBorder="1" applyAlignment="1" applyProtection="1">
      <alignment horizontal="left" vertical="center"/>
    </xf>
    <xf numFmtId="164" fontId="0" fillId="0" borderId="0" xfId="0" applyNumberFormat="1" applyFill="1"/>
    <xf numFmtId="0" fontId="1" fillId="0" borderId="0" xfId="0" applyFont="1" applyFill="1"/>
    <xf numFmtId="0" fontId="1" fillId="0" borderId="0" xfId="1" applyNumberFormat="1" applyFont="1" applyFill="1"/>
    <xf numFmtId="164" fontId="1" fillId="0" borderId="0" xfId="0" applyNumberFormat="1" applyFont="1" applyFill="1"/>
    <xf numFmtId="164" fontId="29" fillId="0" borderId="0" xfId="0" applyNumberFormat="1" applyFont="1" applyFill="1"/>
    <xf numFmtId="164" fontId="0" fillId="0" borderId="0" xfId="0" applyNumberForma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builtinId="8"/>
    <cellStyle name="Normal" xfId="0" builtinId="0"/>
    <cellStyle name="Percent" xfId="1" xr:uid="{00000000-0005-0000-0000-000001000000}"/>
  </cellStyles>
  <dxfs count="660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5" tint="0.7999816888943144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64" formatCode="0.00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169" formatCode="#,##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9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9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</dxf>
    <dxf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solid">
          <fgColor rgb="FFD9D9D9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D9D9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D9D9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D9D9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solid">
          <fgColor rgb="FFD9D9D9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D9D9"/>
          <bgColor rgb="FFD9D9D9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D9D9"/>
          <bgColor rgb="FFD9D9D9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7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Helvetica Neue"/>
        <family val="2"/>
        <scheme val="none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Trebuchet MS"/>
        <family val="2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Var(--wp--preset--font-family--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7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 Neu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 Neu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166" formatCode="0.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169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166" formatCode="0.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rebuchet MS"/>
        <family val="2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rebuchet MS"/>
        <family val="2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66666"/>
        <name val="Helvetica Neue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666666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95067"/>
        <name val="Inheri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06060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rebuchet MS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 abuse correlated to political leaning, proportional to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States'!$B$3</c:f>
              <c:strCache>
                <c:ptCount val="1"/>
                <c:pt idx="0">
                  <c:v>Abused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States'!$B$4:$B$54</c:f>
            </c:numRef>
          </c:val>
          <c:smooth val="0"/>
          <c:extLst>
            <c:ext xmlns:c16="http://schemas.microsoft.com/office/drawing/2014/chart" uri="{C3380CC4-5D6E-409C-BE32-E72D297353CC}">
              <c16:uniqueId val="{00000000-B413-414C-8BD4-D34E04E2254A}"/>
            </c:ext>
          </c:extLst>
        </c:ser>
        <c:ser>
          <c:idx val="1"/>
          <c:order val="1"/>
          <c:tx>
            <c:strRef>
              <c:f>'United States'!$C$3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States'!$C$4:$C$54</c:f>
            </c:numRef>
          </c:val>
          <c:smooth val="0"/>
          <c:extLst>
            <c:ext xmlns:c16="http://schemas.microsoft.com/office/drawing/2014/chart" uri="{C3380CC4-5D6E-409C-BE32-E72D297353CC}">
              <c16:uniqueId val="{00000001-B413-414C-8BD4-D34E04E2254A}"/>
            </c:ext>
          </c:extLst>
        </c:ser>
        <c:ser>
          <c:idx val="2"/>
          <c:order val="2"/>
          <c:tx>
            <c:strRef>
              <c:f>'United States'!$D$3</c:f>
              <c:strCache>
                <c:ptCount val="1"/>
                <c:pt idx="0">
                  <c:v>Proportion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States'!$D$4:$D$54</c:f>
            </c:numRef>
          </c:val>
          <c:smooth val="0"/>
          <c:extLst>
            <c:ext xmlns:c16="http://schemas.microsoft.com/office/drawing/2014/chart" uri="{C3380CC4-5D6E-409C-BE32-E72D297353CC}">
              <c16:uniqueId val="{00000002-B413-414C-8BD4-D34E04E2254A}"/>
            </c:ext>
          </c:extLst>
        </c:ser>
        <c:ser>
          <c:idx val="3"/>
          <c:order val="3"/>
          <c:tx>
            <c:strRef>
              <c:f>'United States'!$E$3</c:f>
              <c:strCache>
                <c:ptCount val="1"/>
                <c:pt idx="0">
                  <c:v>Republican/lean Rep.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States'!$E$4:$E$54</c:f>
            </c:numRef>
          </c:val>
          <c:smooth val="0"/>
          <c:extLst>
            <c:ext xmlns:c16="http://schemas.microsoft.com/office/drawing/2014/chart" uri="{C3380CC4-5D6E-409C-BE32-E72D297353CC}">
              <c16:uniqueId val="{00000003-B413-414C-8BD4-D34E04E2254A}"/>
            </c:ext>
          </c:extLst>
        </c:ser>
        <c:ser>
          <c:idx val="4"/>
          <c:order val="4"/>
          <c:tx>
            <c:strRef>
              <c:f>'United States'!$F$3</c:f>
              <c:strCache>
                <c:ptCount val="1"/>
                <c:pt idx="0">
                  <c:v>No lean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States'!$F$4:$F$54</c:f>
            </c:numRef>
          </c:val>
          <c:smooth val="0"/>
          <c:extLst>
            <c:ext xmlns:c16="http://schemas.microsoft.com/office/drawing/2014/chart" uri="{C3380CC4-5D6E-409C-BE32-E72D297353CC}">
              <c16:uniqueId val="{00000004-B413-414C-8BD4-D34E04E2254A}"/>
            </c:ext>
          </c:extLst>
        </c:ser>
        <c:ser>
          <c:idx val="5"/>
          <c:order val="5"/>
          <c:tx>
            <c:strRef>
              <c:f>'United States'!$G$3</c:f>
              <c:strCache>
                <c:ptCount val="1"/>
                <c:pt idx="0">
                  <c:v>Democrat/lean Dem.</c:v>
                </c:pt>
              </c:strCache>
            </c:strRef>
          </c:tx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States'!$G$4:$G$54</c:f>
            </c:numRef>
          </c:val>
          <c:smooth val="0"/>
          <c:extLst>
            <c:ext xmlns:c16="http://schemas.microsoft.com/office/drawing/2014/chart" uri="{C3380CC4-5D6E-409C-BE32-E72D297353CC}">
              <c16:uniqueId val="{00000005-B413-414C-8BD4-D34E04E2254A}"/>
            </c:ext>
          </c:extLst>
        </c:ser>
        <c:ser>
          <c:idx val="6"/>
          <c:order val="6"/>
          <c:tx>
            <c:strRef>
              <c:f>'United States'!$H$3</c:f>
              <c:strCache>
                <c:ptCount val="1"/>
                <c:pt idx="0">
                  <c:v>Sample size</c:v>
                </c:pt>
              </c:strCache>
            </c:strRef>
          </c:tx>
          <c:spPr>
            <a:ln w="38100" cap="flat" cmpd="dbl" algn="ctr">
              <a:solidFill>
                <a:schemeClr val="accent1">
                  <a:lumMod val="60000"/>
                </a:schemeClr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States'!$H$4:$H$54</c:f>
            </c:numRef>
          </c:val>
          <c:smooth val="0"/>
          <c:extLst>
            <c:ext xmlns:c16="http://schemas.microsoft.com/office/drawing/2014/chart" uri="{C3380CC4-5D6E-409C-BE32-E72D297353CC}">
              <c16:uniqueId val="{00000006-B413-414C-8BD4-D34E04E2254A}"/>
            </c:ext>
          </c:extLst>
        </c:ser>
        <c:ser>
          <c:idx val="7"/>
          <c:order val="7"/>
          <c:tx>
            <c:strRef>
              <c:f>'United States'!$I$3</c:f>
              <c:strCache>
                <c:ptCount val="1"/>
                <c:pt idx="0">
                  <c:v>Biden Cor.</c:v>
                </c:pt>
              </c:strCache>
            </c:strRef>
          </c:tx>
          <c:spPr>
            <a:ln w="38100" cap="rnd" cmpd="sng" algn="ctr">
              <a:solidFill>
                <a:schemeClr val="accent5">
                  <a:lumMod val="7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States'!$I$4:$I$54</c:f>
              <c:numCache>
                <c:formatCode>0.0000</c:formatCode>
                <c:ptCount val="34"/>
                <c:pt idx="0">
                  <c:v>-0.37798127799999998</c:v>
                </c:pt>
                <c:pt idx="1">
                  <c:v>-9.8222676999999994E-2</c:v>
                </c:pt>
                <c:pt idx="2">
                  <c:v>-0.38124956599999998</c:v>
                </c:pt>
                <c:pt idx="3">
                  <c:v>-0.37179496400000001</c:v>
                </c:pt>
                <c:pt idx="4">
                  <c:v>7.3086655E-2</c:v>
                </c:pt>
                <c:pt idx="5">
                  <c:v>-0.25146595300000002</c:v>
                </c:pt>
                <c:pt idx="6">
                  <c:v>-9.8429399000000001E-2</c:v>
                </c:pt>
                <c:pt idx="7">
                  <c:v>-6.8792661000000005E-2</c:v>
                </c:pt>
                <c:pt idx="8">
                  <c:v>6.5718578E-2</c:v>
                </c:pt>
                <c:pt idx="9">
                  <c:v>-0.72439583299999999</c:v>
                </c:pt>
                <c:pt idx="10">
                  <c:v>-0.47687916899999999</c:v>
                </c:pt>
                <c:pt idx="11">
                  <c:v>-0.23144624799999999</c:v>
                </c:pt>
                <c:pt idx="12">
                  <c:v>-0.109314387</c:v>
                </c:pt>
                <c:pt idx="13">
                  <c:v>-0.27227410000000002</c:v>
                </c:pt>
                <c:pt idx="14">
                  <c:v>-0.34608354899999999</c:v>
                </c:pt>
                <c:pt idx="15">
                  <c:v>-9.7803622000000007E-2</c:v>
                </c:pt>
                <c:pt idx="16">
                  <c:v>1.8326881E-2</c:v>
                </c:pt>
                <c:pt idx="17">
                  <c:v>-0.59094005299999997</c:v>
                </c:pt>
                <c:pt idx="18">
                  <c:v>-0.43564181699999999</c:v>
                </c:pt>
                <c:pt idx="19">
                  <c:v>-7.5118866000000006E-2</c:v>
                </c:pt>
                <c:pt idx="20">
                  <c:v>-0.50011172199999998</c:v>
                </c:pt>
                <c:pt idx="21">
                  <c:v>-0.347958027</c:v>
                </c:pt>
                <c:pt idx="22">
                  <c:v>0.18038926599999999</c:v>
                </c:pt>
                <c:pt idx="23">
                  <c:v>-0.25078531599999998</c:v>
                </c:pt>
                <c:pt idx="24">
                  <c:v>0.108973288</c:v>
                </c:pt>
                <c:pt idx="25">
                  <c:v>-0.383691118</c:v>
                </c:pt>
                <c:pt idx="26">
                  <c:v>-0.46012973299999999</c:v>
                </c:pt>
                <c:pt idx="27">
                  <c:v>-1.6801047E-2</c:v>
                </c:pt>
                <c:pt idx="28">
                  <c:v>-0.57558005999999995</c:v>
                </c:pt>
                <c:pt idx="29">
                  <c:v>-3.8793818000000001E-2</c:v>
                </c:pt>
                <c:pt idx="30">
                  <c:v>-2.2688651000000001E-2</c:v>
                </c:pt>
                <c:pt idx="31">
                  <c:v>-0.46791484300000002</c:v>
                </c:pt>
                <c:pt idx="32">
                  <c:v>-0.28259578200000002</c:v>
                </c:pt>
                <c:pt idx="33">
                  <c:v>-9.2804883000000005E-2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13-414C-8BD4-D34E04E2254A}"/>
            </c:ext>
          </c:extLst>
        </c:ser>
        <c:ser>
          <c:idx val="8"/>
          <c:order val="8"/>
          <c:tx>
            <c:strRef>
              <c:f>'United States'!$J$3</c:f>
              <c:strCache>
                <c:ptCount val="1"/>
                <c:pt idx="0">
                  <c:v>Trump Cor.</c:v>
                </c:pt>
              </c:strCache>
            </c:strRef>
          </c:tx>
          <c:spPr>
            <a:ln w="38100" cap="rnd" cmpd="sng" algn="ctr">
              <a:solidFill>
                <a:schemeClr val="accent2">
                  <a:lumMod val="75000"/>
                </a:schemeClr>
              </a:solidFill>
              <a:prstDash val="sysDash"/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'United States'!$A$4:$A$54</c:f>
              <c:strCache>
                <c:ptCount val="34"/>
                <c:pt idx="0">
                  <c:v>Alabama</c:v>
                </c:pt>
                <c:pt idx="1">
                  <c:v>Arizona</c:v>
                </c:pt>
                <c:pt idx="2">
                  <c:v>California</c:v>
                </c:pt>
                <c:pt idx="3">
                  <c:v>Colorado</c:v>
                </c:pt>
                <c:pt idx="4">
                  <c:v>Connecticut</c:v>
                </c:pt>
                <c:pt idx="5">
                  <c:v>Georgia</c:v>
                </c:pt>
                <c:pt idx="6">
                  <c:v>Indiana</c:v>
                </c:pt>
                <c:pt idx="7">
                  <c:v>Iowa</c:v>
                </c:pt>
                <c:pt idx="8">
                  <c:v>Kentucky</c:v>
                </c:pt>
                <c:pt idx="9">
                  <c:v>Maine</c:v>
                </c:pt>
                <c:pt idx="10">
                  <c:v>Maryland</c:v>
                </c:pt>
                <c:pt idx="11">
                  <c:v>Michigan</c:v>
                </c:pt>
                <c:pt idx="12">
                  <c:v>Minnesota</c:v>
                </c:pt>
                <c:pt idx="13">
                  <c:v>Mississippi</c:v>
                </c:pt>
                <c:pt idx="14">
                  <c:v>Missouri</c:v>
                </c:pt>
                <c:pt idx="15">
                  <c:v>Nebraska</c:v>
                </c:pt>
                <c:pt idx="16">
                  <c:v>Nevada</c:v>
                </c:pt>
                <c:pt idx="17">
                  <c:v>New Hampshire</c:v>
                </c:pt>
                <c:pt idx="18">
                  <c:v>New Jersey</c:v>
                </c:pt>
                <c:pt idx="19">
                  <c:v>New Mexico</c:v>
                </c:pt>
                <c:pt idx="20">
                  <c:v>New York</c:v>
                </c:pt>
                <c:pt idx="21">
                  <c:v>North Carolina</c:v>
                </c:pt>
                <c:pt idx="22">
                  <c:v>North Dakota</c:v>
                </c:pt>
                <c:pt idx="23">
                  <c:v>Ohio</c:v>
                </c:pt>
                <c:pt idx="24">
                  <c:v>Oklahoma</c:v>
                </c:pt>
                <c:pt idx="25">
                  <c:v>Oregon</c:v>
                </c:pt>
                <c:pt idx="26">
                  <c:v>Pennsylvania</c:v>
                </c:pt>
                <c:pt idx="27">
                  <c:v>South Carolina</c:v>
                </c:pt>
                <c:pt idx="28">
                  <c:v>Tennessee</c:v>
                </c:pt>
                <c:pt idx="29">
                  <c:v>Texas</c:v>
                </c:pt>
                <c:pt idx="30">
                  <c:v>Utah</c:v>
                </c:pt>
                <c:pt idx="31">
                  <c:v>Virginia</c:v>
                </c:pt>
                <c:pt idx="32">
                  <c:v>West Virginia</c:v>
                </c:pt>
                <c:pt idx="33">
                  <c:v>Wisconsin</c:v>
                </c:pt>
              </c:strCache>
            </c:strRef>
          </c:cat>
          <c:val>
            <c:numRef>
              <c:f>'United States'!$J$4:$J$54</c:f>
              <c:numCache>
                <c:formatCode>0.0000</c:formatCode>
                <c:ptCount val="34"/>
                <c:pt idx="0">
                  <c:v>0.23723656800000001</c:v>
                </c:pt>
                <c:pt idx="1">
                  <c:v>0.43927147799999999</c:v>
                </c:pt>
                <c:pt idx="2">
                  <c:v>0.47506678800000002</c:v>
                </c:pt>
                <c:pt idx="3">
                  <c:v>0.33105538899999998</c:v>
                </c:pt>
                <c:pt idx="4">
                  <c:v>0.166138279</c:v>
                </c:pt>
                <c:pt idx="5">
                  <c:v>0.113793875</c:v>
                </c:pt>
                <c:pt idx="6">
                  <c:v>-4.3702306000000003E-2</c:v>
                </c:pt>
                <c:pt idx="7">
                  <c:v>-5.5325803999999999E-2</c:v>
                </c:pt>
                <c:pt idx="8">
                  <c:v>0.39154273099999998</c:v>
                </c:pt>
                <c:pt idx="9">
                  <c:v>0.56327590299999997</c:v>
                </c:pt>
                <c:pt idx="10">
                  <c:v>0.17539790999999999</c:v>
                </c:pt>
                <c:pt idx="11">
                  <c:v>0.13587903800000001</c:v>
                </c:pt>
                <c:pt idx="12">
                  <c:v>3.5500060999999999E-2</c:v>
                </c:pt>
                <c:pt idx="13">
                  <c:v>0.23856855199999999</c:v>
                </c:pt>
                <c:pt idx="14">
                  <c:v>-1.0401172E-2</c:v>
                </c:pt>
                <c:pt idx="15">
                  <c:v>-0.128114161</c:v>
                </c:pt>
                <c:pt idx="16">
                  <c:v>-0.45058647200000002</c:v>
                </c:pt>
                <c:pt idx="17">
                  <c:v>7.0772242999999999E-2</c:v>
                </c:pt>
                <c:pt idx="18">
                  <c:v>0.12667699499999999</c:v>
                </c:pt>
                <c:pt idx="19">
                  <c:v>-0.24883860399999999</c:v>
                </c:pt>
                <c:pt idx="20">
                  <c:v>0.23134138200000001</c:v>
                </c:pt>
                <c:pt idx="21">
                  <c:v>0.19129574699999999</c:v>
                </c:pt>
                <c:pt idx="22">
                  <c:v>-0.24014769999999999</c:v>
                </c:pt>
                <c:pt idx="23">
                  <c:v>-3.1650649000000003E-2</c:v>
                </c:pt>
                <c:pt idx="24">
                  <c:v>-0.24389129800000001</c:v>
                </c:pt>
                <c:pt idx="25">
                  <c:v>0.41177688200000001</c:v>
                </c:pt>
                <c:pt idx="26">
                  <c:v>0.25259732800000001</c:v>
                </c:pt>
                <c:pt idx="27">
                  <c:v>-0.11817137799999999</c:v>
                </c:pt>
                <c:pt idx="28">
                  <c:v>0.20123841200000001</c:v>
                </c:pt>
                <c:pt idx="29">
                  <c:v>-5.5120295E-2</c:v>
                </c:pt>
                <c:pt idx="30">
                  <c:v>0.57076212999999998</c:v>
                </c:pt>
                <c:pt idx="31">
                  <c:v>0.17432863400000001</c:v>
                </c:pt>
                <c:pt idx="32">
                  <c:v>0.13511609799999999</c:v>
                </c:pt>
                <c:pt idx="33">
                  <c:v>-0.18660831899999999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13-414C-8BD4-D34E04E225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6258672"/>
        <c:axId val="125902384"/>
      </c:lineChart>
      <c:catAx>
        <c:axId val="12625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02384"/>
        <c:crosses val="autoZero"/>
        <c:auto val="1"/>
        <c:lblAlgn val="ctr"/>
        <c:lblOffset val="100"/>
        <c:noMultiLvlLbl val="0"/>
      </c:catAx>
      <c:valAx>
        <c:axId val="1259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2</xdr:row>
      <xdr:rowOff>0</xdr:rowOff>
    </xdr:from>
    <xdr:to>
      <xdr:col>25</xdr:col>
      <xdr:colOff>355600</xdr:colOff>
      <xdr:row>62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AB6B45-A98D-5496-6AEC-BA49087AA1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A0F2BB-BBB7-CA48-93C5-48FC5FEF82D0}" name="Table1" displayName="Table1" ref="A3:O54" totalsRowShown="0">
  <autoFilter ref="A3:O54" xr:uid="{61A0F2BB-BBB7-CA48-93C5-48FC5FEF82D0}">
    <filterColumn colId="13">
      <filters>
        <filter val="Yes"/>
      </filters>
    </filterColumn>
  </autoFilter>
  <sortState xmlns:xlrd2="http://schemas.microsoft.com/office/spreadsheetml/2017/richdata2" ref="A4:O46">
    <sortCondition ref="N3:N54"/>
  </sortState>
  <tableColumns count="15">
    <tableColumn id="1" xr3:uid="{217BC781-766D-294E-92A2-38721A44FF15}" name="State" dataDxfId="293"/>
    <tableColumn id="2" xr3:uid="{1BBE3147-7704-7743-BF43-B316EDAD8204}" name="Abused" dataDxfId="292"/>
    <tableColumn id="3" xr3:uid="{0B60DD17-F15E-4040-99A0-D944DABF79D0}" name="Population" dataDxfId="291"/>
    <tableColumn id="4" xr3:uid="{CE2876EB-1794-5B4D-BD04-B0BAE5A2AC18}" name="Proportion" dataDxfId="290" dataCellStyle="Percent">
      <calculatedColumnFormula>B4/C4</calculatedColumnFormula>
    </tableColumn>
    <tableColumn id="7" xr3:uid="{BA22FD3F-F3A6-BC47-B211-15AD73B6294D}" name="Republican/lean Rep." dataDxfId="289" dataCellStyle="Percent"/>
    <tableColumn id="8" xr3:uid="{9D16785A-303E-924D-896D-6CD1DA24DB95}" name="No lean" dataDxfId="288" dataCellStyle="Percent"/>
    <tableColumn id="9" xr3:uid="{5C91B534-D26C-964F-8E58-D33DC33F2F4B}" name="Democrat/lean Dem." dataDxfId="287" dataCellStyle="Percent"/>
    <tableColumn id="10" xr3:uid="{A5ED6B5D-D17B-074C-BA38-E9F0BFF0E4D2}" name="Sample size" dataDxfId="286" dataCellStyle="Percent"/>
    <tableColumn id="6" xr3:uid="{1B6A52D9-4828-9B40-8D5F-C497C0757D14}" name="Biden Cor." dataDxfId="285" dataCellStyle="Percent">
      <calculatedColumnFormula>Alabama!Q3</calculatedColumnFormula>
    </tableColumn>
    <tableColumn id="11" xr3:uid="{DA2D2017-93FF-FE4F-A08E-2D53436007D9}" name="Trump Cor." dataDxfId="284" dataCellStyle="Percent"/>
    <tableColumn id="12" xr3:uid="{063DB60D-F303-9A4E-9DC6-58A6A57F47B3}" name="Neither Cor." dataDxfId="283" dataCellStyle="Percent"/>
    <tableColumn id="5" xr3:uid="{5B8E4C6A-89B8-3641-B9D1-771D2867A7E4}" name="Biden Done" dataDxfId="282" dataCellStyle="Percent">
      <calculatedColumnFormula>AVERAGE(Table1[[#This Row],[Biden Cor.]:[Neither Cor.]])</calculatedColumnFormula>
    </tableColumn>
    <tableColumn id="15" xr3:uid="{C2A3DD8E-490D-934C-B744-12CEC099A5EE}" name="Trump Done" dataDxfId="22" dataCellStyle="Percent"/>
    <tableColumn id="14" xr3:uid="{36A657E8-3493-5342-92DC-33D7904E7815}" name="Enough Data?" dataDxfId="281" dataCellStyle="Percent"/>
    <tableColumn id="13" xr3:uid="{15239AD1-D2ED-0D42-AF68-2F626C49BDA4}" name="Indicator (Proportional to Population)" dataDxfId="280" dataCellStyle="Percent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5E4ABBE-FF8A-9D4D-A659-5AA3E30A68E2}" name="Table54" displayName="Table54" ref="A86:C169" totalsRowShown="0" headerRowDxfId="607">
  <autoFilter ref="A86:C169" xr:uid="{A5E4ABBE-FF8A-9D4D-A659-5AA3E30A68E2}"/>
  <sortState xmlns:xlrd2="http://schemas.microsoft.com/office/spreadsheetml/2017/richdata2" ref="A87:C169">
    <sortCondition ref="B86:B169"/>
  </sortState>
  <tableColumns count="3">
    <tableColumn id="1" xr3:uid="{071F973B-D79E-5440-8BDC-E4EFF643B398}" name="Rank" dataDxfId="606"/>
    <tableColumn id="2" xr3:uid="{62926DBE-E731-7640-BA99-35743B72F450}" name="County" dataCellStyle="Hyperlink"/>
    <tableColumn id="3" xr3:uid="{29A1AA10-59E8-F946-A0B1-6B4C66E32C36}" name="Population" dataDxfId="605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69753B5-E345-8942-B62E-F4038C4B53DE}" name="Table55" displayName="Table55" ref="A1:D88" totalsRowShown="0" headerRowDxfId="604" dataDxfId="603">
  <autoFilter ref="A1:D88" xr:uid="{769753B5-E345-8942-B62E-F4038C4B53DE}"/>
  <tableColumns count="4">
    <tableColumn id="1" xr3:uid="{21B1422F-43AE-C447-8C2E-28DA2A7AE807}" name="Location" dataDxfId="602"/>
    <tableColumn id="2" xr3:uid="{DB6E87DC-B651-FE4B-9E85-6108C95858EF}" name="Data Type" dataDxfId="601"/>
    <tableColumn id="3" xr3:uid="{7A90713D-4FEB-A440-AB9F-4F1A6DB9C8CC}" name="2011" dataDxfId="600"/>
    <tableColumn id="4" xr3:uid="{FBD771B0-6B50-7042-8274-4E5021EEBC2C}" name="NbP" dataDxfId="599">
      <calculatedColumnFormula>Table55[[#This Row],[2011]]/C91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27BF800-FFAE-2C41-8448-EF3232D71983}" name="Table56" displayName="Table56" ref="F1:M88" totalsRowShown="0" headerRowDxfId="598">
  <autoFilter ref="F1:M88" xr:uid="{E27BF800-FFAE-2C41-8448-EF3232D71983}"/>
  <sortState xmlns:xlrd2="http://schemas.microsoft.com/office/spreadsheetml/2017/richdata2" ref="F2:L88">
    <sortCondition ref="F1:F88"/>
  </sortState>
  <tableColumns count="8">
    <tableColumn id="1" xr3:uid="{79A3B7F9-F82A-964A-B562-4474DC2D533F}" name="COUNTY" dataDxfId="597"/>
    <tableColumn id="2" xr3:uid="{F761EB8C-8D72-CE46-B8F6-15277C4A206D}" name="BIDEN VOTES" dataDxfId="596"/>
    <tableColumn id="6" xr3:uid="{B2215498-EF2D-534B-B0AB-9FE31D498227}" name="NbP" dataDxfId="595">
      <calculatedColumnFormula>Table56[[#This Row],[BIDEN VOTES]]/C91</calculatedColumnFormula>
    </tableColumn>
    <tableColumn id="3" xr3:uid="{6B8AD39E-34C6-C34F-8FBE-2F481EF73E98}" name="BIDEN PCT" dataDxfId="594"/>
    <tableColumn id="4" xr3:uid="{73920BDA-92F2-3F4D-BCC8-3A632DB1B211}" name="TRUMP VOTES" dataDxfId="593"/>
    <tableColumn id="7" xr3:uid="{D924434A-74B6-AF44-A8A3-CC2457365B8A}" name="NbP2" dataDxfId="592">
      <calculatedColumnFormula>Table56[[#This Row],[TRUMP VOTES]]/C91</calculatedColumnFormula>
    </tableColumn>
    <tableColumn id="5" xr3:uid="{CA688E02-F28E-1A4F-9816-3915C2929A49}" name="TRUMP PCT" dataDxfId="591"/>
    <tableColumn id="8" xr3:uid="{5DC93EF6-2909-1D46-97E1-49A292C8AAC3}" name="None" dataDxfId="590">
      <calculatedColumnFormula>1-(Table56[[#This Row],[NbP]]+Table56[[#This Row],[NbP2]])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A66B6D3-15F1-4540-BB93-971BE78A55C9}" name="Table57" displayName="Table57" ref="A90:C177" totalsRowShown="0" headerRowDxfId="589">
  <autoFilter ref="A90:C177" xr:uid="{6A66B6D3-15F1-4540-BB93-971BE78A55C9}"/>
  <sortState xmlns:xlrd2="http://schemas.microsoft.com/office/spreadsheetml/2017/richdata2" ref="A91:C177">
    <sortCondition ref="B90:B177"/>
  </sortState>
  <tableColumns count="3">
    <tableColumn id="1" xr3:uid="{2AD7BD65-4C08-484D-882C-25AA55E3F276}" name="Rank" dataDxfId="588"/>
    <tableColumn id="2" xr3:uid="{0A2121E8-CEFA-F24F-87C1-EACCA7F2FA90}" name="County" dataCellStyle="Hyperlink"/>
    <tableColumn id="3" xr3:uid="{12E274E2-37DE-CB4C-AD7C-B4866017DFAA}" name="Population" dataDxfId="587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831AD74-1A6A-6145-AE64-A0615D9532D8}" name="Table58" displayName="Table58" ref="A1:E83" totalsRowShown="0" headerRowDxfId="586" dataDxfId="585">
  <autoFilter ref="A1:E83" xr:uid="{7831AD74-1A6A-6145-AE64-A0615D9532D8}"/>
  <tableColumns count="5">
    <tableColumn id="1" xr3:uid="{49F7C17D-CE4E-7349-A3A6-B0ED4959324A}" name="Location" dataDxfId="584"/>
    <tableColumn id="2" xr3:uid="{36B7FD44-D4C4-E240-9D5E-97EBAB6F0179}" name="AbuseType" dataDxfId="583"/>
    <tableColumn id="3" xr3:uid="{537255D0-18F3-9F44-8696-F8FAC219E6CE}" name="Data Type" dataDxfId="582"/>
    <tableColumn id="4" xr3:uid="{EE4B72A1-5B27-E04D-93DB-8B03A7D18EEE}" name="2016" dataDxfId="581"/>
    <tableColumn id="5" xr3:uid="{52939454-35F4-7742-997C-02ABCE2175D8}" name="NbP" dataDxfId="580">
      <calculatedColumnFormula>Table58[[#This Row],[2016]]/C86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C43B343-D285-0444-BE22-6F843CA4D1EA}" name="Table59" displayName="Table59" ref="G1:N83" totalsRowShown="0" headerRowDxfId="579">
  <autoFilter ref="G1:N83" xr:uid="{DC43B343-D285-0444-BE22-6F843CA4D1EA}"/>
  <sortState xmlns:xlrd2="http://schemas.microsoft.com/office/spreadsheetml/2017/richdata2" ref="G2:M83">
    <sortCondition ref="G1:G83"/>
  </sortState>
  <tableColumns count="8">
    <tableColumn id="1" xr3:uid="{59D82AAA-36C0-DC48-BA45-C92516C2A225}" name="COUNTY" dataDxfId="578"/>
    <tableColumn id="2" xr3:uid="{EE6726D4-986B-5E46-A190-7E49C0ADDD62}" name="TRUMP VOTES" dataDxfId="577"/>
    <tableColumn id="6" xr3:uid="{3EEAC5EE-D88A-CF42-9410-FF34A2B16411}" name="NbP" dataDxfId="576">
      <calculatedColumnFormula>Table59[[#This Row],[TRUMP VOTES]]/C86</calculatedColumnFormula>
    </tableColumn>
    <tableColumn id="3" xr3:uid="{C08B0557-5507-7342-A138-88F25A0900BB}" name="TRUMP PCT" dataDxfId="575"/>
    <tableColumn id="4" xr3:uid="{FC692925-5F18-3A47-9608-3D3FF2394D75}" name="BIDEN VOTES" dataDxfId="574"/>
    <tableColumn id="7" xr3:uid="{F6FAF95A-CFA3-8742-ADDA-DD7E8039BC62}" name="NbP2" dataDxfId="573">
      <calculatedColumnFormula>Table59[[#This Row],[BIDEN VOTES]]/C86</calculatedColumnFormula>
    </tableColumn>
    <tableColumn id="5" xr3:uid="{D050D682-D006-514D-BC5C-4FC4F4EDA76B}" name="BIDEN PCT" dataDxfId="572"/>
    <tableColumn id="8" xr3:uid="{0FB91338-91FD-1B44-9CC0-72BD25A62B80}" name="None" dataDxfId="571">
      <calculatedColumnFormula>1-(Table59[[#This Row],[NbP]]+Table59[[#This Row],[NbP2]])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A34414C-3291-8F4B-9F64-89C3A6CD029D}" name="Table60" displayName="Table60" ref="A85:C167" totalsRowShown="0" headerRowDxfId="570">
  <autoFilter ref="A85:C167" xr:uid="{CA34414C-3291-8F4B-9F64-89C3A6CD029D}"/>
  <sortState xmlns:xlrd2="http://schemas.microsoft.com/office/spreadsheetml/2017/richdata2" ref="A86:C167">
    <sortCondition ref="B85:B167"/>
  </sortState>
  <tableColumns count="3">
    <tableColumn id="1" xr3:uid="{FE0F7CFE-5F7D-064D-8CB9-AA51ECA7AA05}" name="Rank" dataDxfId="569"/>
    <tableColumn id="2" xr3:uid="{47F94E30-05EB-7D49-B40D-999216A3E4D5}" name="County" dataCellStyle="Hyperlink"/>
    <tableColumn id="3" xr3:uid="{63DA3B25-C355-E940-A406-2E75104F8475}" name="Population" dataDxfId="568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D486C66-A3B3-FB43-B81D-B3D3F487CFBA}" name="Table61" displayName="Table61" ref="A1:D116" totalsRowShown="0" headerRowDxfId="567" dataDxfId="566">
  <autoFilter ref="A1:D116" xr:uid="{3D486C66-A3B3-FB43-B81D-B3D3F487CFBA}"/>
  <tableColumns count="4">
    <tableColumn id="1" xr3:uid="{B38ABD50-3D7D-614D-9DA8-7A71E8B1ACEC}" name="Location" dataDxfId="565"/>
    <tableColumn id="2" xr3:uid="{661FB223-2A6F-FF48-8002-9E8C0E8A9CA5}" name="Data Type" dataDxfId="564"/>
    <tableColumn id="3" xr3:uid="{AA67CBEB-B905-4D46-AAFF-2C4726D222F5}" name="2019" dataDxfId="563"/>
    <tableColumn id="4" xr3:uid="{F5647EE0-FA7E-6245-922D-C27CC865AB3E}" name="NbP" dataDxfId="562">
      <calculatedColumnFormula>Table61[[#This Row],[2019]]/C119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D9F1251-A19D-E948-BF1E-BB9F3D1D2E90}" name="Table62" displayName="Table62" ref="F1:M116" totalsRowShown="0" headerRowDxfId="561">
  <autoFilter ref="F1:M116" xr:uid="{1D9F1251-A19D-E948-BF1E-BB9F3D1D2E90}"/>
  <sortState xmlns:xlrd2="http://schemas.microsoft.com/office/spreadsheetml/2017/richdata2" ref="F2:M116">
    <sortCondition ref="F1:F116"/>
  </sortState>
  <tableColumns count="8">
    <tableColumn id="1" xr3:uid="{917DA742-237E-2D4D-B3F5-AAADE6AA4135}" name="COUNTY" dataDxfId="560"/>
    <tableColumn id="2" xr3:uid="{947BA528-678C-0243-8AB9-83BFEEC30267}" name="TRUMP VOTES" dataDxfId="559"/>
    <tableColumn id="6" xr3:uid="{5F8CECE3-4E8C-994A-B165-B7A8D012BAB0}" name="NbP" dataDxfId="558">
      <calculatedColumnFormula>Table62[[#This Row],[TRUMP VOTES]]/C119</calculatedColumnFormula>
    </tableColumn>
    <tableColumn id="3" xr3:uid="{CFF24086-61C2-4044-A013-273338EBFD9E}" name="TRUMP PCT" dataDxfId="557"/>
    <tableColumn id="4" xr3:uid="{024E832D-143D-5D4A-AB1F-450261AB4D46}" name="BIDEN VOTES" dataDxfId="556"/>
    <tableColumn id="7" xr3:uid="{B3D4F9AF-9523-EC42-9634-8333B7DA6FD9}" name="NbP2" dataDxfId="555">
      <calculatedColumnFormula>Table62[[#This Row],[BIDEN VOTES]]/C119</calculatedColumnFormula>
    </tableColumn>
    <tableColumn id="5" xr3:uid="{D298F4F9-9B3A-5342-97AD-D7147C98FA3E}" name="BIDEN PCT" dataDxfId="554"/>
    <tableColumn id="8" xr3:uid="{6261AC15-8817-7546-8C02-CB303DA7659B}" name="None" dataDxfId="553">
      <calculatedColumnFormula>1-(Table62[[#This Row],[NbP]]+Table62[[#This Row],[NbP2]])</calculatedColumnFormula>
    </tableColumn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89EFC11-2670-A449-A233-E97D55B40ADD}" name="Table63" displayName="Table63" ref="A118:C233" totalsRowShown="0" headerRowDxfId="552">
  <autoFilter ref="A118:C233" xr:uid="{C89EFC11-2670-A449-A233-E97D55B40ADD}"/>
  <sortState xmlns:xlrd2="http://schemas.microsoft.com/office/spreadsheetml/2017/richdata2" ref="A119:C233">
    <sortCondition ref="B118:B233"/>
  </sortState>
  <tableColumns count="3">
    <tableColumn id="1" xr3:uid="{CA95F89D-BC62-CC4B-BBDB-40EA204E6DBC}" name="Rank" dataDxfId="551"/>
    <tableColumn id="2" xr3:uid="{9D4D9B92-F6EF-B446-AD5E-040AD256BE26}" name="County" dataDxfId="550"/>
    <tableColumn id="3" xr3:uid="{131F0237-DA1E-E848-B8C6-45960BCCFDE6}" name="Population" dataDxfId="54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71548EA-F152-CC4D-B6A9-96CCB5395C44}" name="Table46" displayName="Table46" ref="A1:D17" totalsRowShown="0" headerRowDxfId="659" dataDxfId="658">
  <autoFilter ref="A1:D17" xr:uid="{871548EA-F152-CC4D-B6A9-96CCB5395C44}"/>
  <tableColumns count="4">
    <tableColumn id="1" xr3:uid="{1132DE4C-7784-BE45-A8DD-12BBD8DFBC05}" name="Location" dataDxfId="657"/>
    <tableColumn id="2" xr3:uid="{C8486CA3-DC2F-854C-B9CB-395AB8BA0ADE}" name="Data Type" dataDxfId="656"/>
    <tableColumn id="6" xr3:uid="{C07D459D-2FB9-4C4A-A7E7-6CCBEB7DC61D}" name="2020" dataDxfId="655"/>
    <tableColumn id="7" xr3:uid="{4FCAB82F-3AE4-2649-B182-1A8ED385372E}" name="NbP" dataDxfId="654">
      <calculatedColumnFormula>Table46[[#This Row],[2020]]/C20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FE41B74-6C93-1C41-A249-9C3DCCFB7D65}" name="Table10" displayName="Table10" ref="A1:D94" totalsRowShown="0" headerRowDxfId="548" dataDxfId="547">
  <autoFilter ref="A1:D94" xr:uid="{5FE41B74-6C93-1C41-A249-9C3DCCFB7D65}"/>
  <tableColumns count="4">
    <tableColumn id="1" xr3:uid="{9F7109A7-FEE9-B94D-A3C0-32DC20CBC64F}" name="Location" dataDxfId="546"/>
    <tableColumn id="2" xr3:uid="{A39EE6AD-BD49-2147-BDB7-3F931DBAB802}" name="Data Type" dataDxfId="545"/>
    <tableColumn id="3" xr3:uid="{51961FD8-4523-714C-A36A-B7E20EF8A9E2}" name="2019" dataDxfId="544"/>
    <tableColumn id="4" xr3:uid="{FE0DEFE2-4ECF-AB4F-9FAF-46A9D9E43319}" name="NbP" dataDxfId="543">
      <calculatedColumnFormula>Table10[[#This Row],[2019]]/C97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A4C30B-1D6E-2F4B-AA0C-FC90AD2BF5D6}" name="Table13" displayName="Table13" ref="F1:M94" totalsRowShown="0" headerRowDxfId="542">
  <autoFilter ref="F1:M94" xr:uid="{83A4C30B-1D6E-2F4B-AA0C-FC90AD2BF5D6}"/>
  <tableColumns count="8">
    <tableColumn id="1" xr3:uid="{B0D740BF-370D-9B49-95C8-90789E645682}" name="COUNTY" dataDxfId="541"/>
    <tableColumn id="2" xr3:uid="{B6ABD0DF-C142-5845-A5BE-0CA65A07B697}" name="TRUMP VOTES" dataDxfId="540"/>
    <tableColumn id="6" xr3:uid="{18C8A5E5-030A-4A43-A72B-426B9E9AC424}" name="NbP" dataDxfId="539">
      <calculatedColumnFormula>Table13[[#This Row],[TRUMP VOTES]]/C97</calculatedColumnFormula>
    </tableColumn>
    <tableColumn id="3" xr3:uid="{15EB7C32-2F2B-A845-B149-482913B12AE2}" name="TRUMP PCT" dataDxfId="538"/>
    <tableColumn id="4" xr3:uid="{F7F33B8C-072B-264C-8164-18AC3E64E5B8}" name="BIDEN VOTES" dataDxfId="537"/>
    <tableColumn id="7" xr3:uid="{9CA6D5AC-E7AC-664D-A6CF-7E20D8F6524D}" name="NbP2" dataDxfId="536">
      <calculatedColumnFormula>Table13[[#This Row],[BIDEN VOTES]]/C97</calculatedColumnFormula>
    </tableColumn>
    <tableColumn id="5" xr3:uid="{4C54FDFC-5D94-DE40-B740-A8417E59AC3F}" name="BIDEN PCT" dataDxfId="535"/>
    <tableColumn id="8" xr3:uid="{BA1ACB20-11AA-8D43-9948-50F43A2A027E}" name="None" dataDxfId="534">
      <calculatedColumnFormula>1-(Table13[[#This Row],[NbP]]+Table13[[#This Row],[NbP2]])</calculatedColumnFormula>
    </tableColumn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6E258B8-AF88-5C4B-A207-84923575949C}" name="Table16" displayName="Table16" ref="A96:C189" totalsRowShown="0" headerRowDxfId="533">
  <autoFilter ref="A96:C189" xr:uid="{C6E258B8-AF88-5C4B-A207-84923575949C}"/>
  <sortState xmlns:xlrd2="http://schemas.microsoft.com/office/spreadsheetml/2017/richdata2" ref="A97:C189">
    <sortCondition ref="B96:B189"/>
  </sortState>
  <tableColumns count="3">
    <tableColumn id="1" xr3:uid="{4AC99FD7-A08C-3641-A994-FFCA58D1D43C}" name="Rank" dataDxfId="532"/>
    <tableColumn id="2" xr3:uid="{D30860FC-530B-3C4F-B0E6-AE08A1EAA31B}" name="County" dataCellStyle="Hyperlink"/>
    <tableColumn id="3" xr3:uid="{B0E5291C-4DD4-734D-B62A-4F0E338B1217}" name="Population" dataDxfId="531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5F3335F-7E24-D54A-B346-E8461214900E}" name="Table18" displayName="Table18" ref="A1:D18" totalsRowShown="0" headerRowDxfId="530" dataDxfId="529">
  <autoFilter ref="A1:D18" xr:uid="{95F3335F-7E24-D54A-B346-E8461214900E}"/>
  <tableColumns count="4">
    <tableColumn id="1" xr3:uid="{14E9D7B2-EDFE-824E-8018-3CEE00AB5F4E}" name="Location" dataDxfId="528"/>
    <tableColumn id="2" xr3:uid="{07C55F87-C6AB-5649-93A5-58E583D99216}" name="Data Type" dataDxfId="527"/>
    <tableColumn id="3" xr3:uid="{6182A222-35FC-214D-BFB3-D625EF337236}" name="2014" dataDxfId="526"/>
    <tableColumn id="4" xr3:uid="{AC20115B-51E8-7740-B66B-6DB7F945B351}" name="NbP" dataDxfId="525">
      <calculatedColumnFormula>Table18[[#This Row],[2014]]/C21</calculatedColumnFormula>
    </tableColumn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BC80093-6D30-4140-B202-A7209F3B1DFA}" name="Table20" displayName="Table20" ref="F1:M18" totalsRowShown="0" headerRowDxfId="524">
  <autoFilter ref="F1:M18" xr:uid="{2BC80093-6D30-4140-B202-A7209F3B1DFA}"/>
  <sortState xmlns:xlrd2="http://schemas.microsoft.com/office/spreadsheetml/2017/richdata2" ref="F2:M18">
    <sortCondition ref="F1:F18"/>
  </sortState>
  <tableColumns count="8">
    <tableColumn id="1" xr3:uid="{9D58001A-B8D0-834F-8BAE-139DC9DD006E}" name="COUNTY" dataDxfId="523"/>
    <tableColumn id="2" xr3:uid="{7BD87B7F-79BF-CE4C-8C7A-CAE7B3490AE9}" name="BIDEN VOTES" dataDxfId="522"/>
    <tableColumn id="6" xr3:uid="{D9242128-790D-5041-A918-82F295C23D52}" name="NbP" dataDxfId="521">
      <calculatedColumnFormula>Table20[[#This Row],[BIDEN VOTES]]/C21</calculatedColumnFormula>
    </tableColumn>
    <tableColumn id="3" xr3:uid="{181BF7A7-4937-1B4C-96B0-918043EA49C7}" name="BIDEN PCT" dataDxfId="520"/>
    <tableColumn id="4" xr3:uid="{4F08A39C-CD1C-D34B-ABC8-FD08120E8C01}" name="TRUMP VOTES" dataDxfId="519"/>
    <tableColumn id="7" xr3:uid="{ED15A767-0CF4-0C4E-9999-BB7322AFF4FF}" name="NbP2" dataDxfId="518">
      <calculatedColumnFormula>Table20[[#This Row],[TRUMP VOTES]]/C21</calculatedColumnFormula>
    </tableColumn>
    <tableColumn id="5" xr3:uid="{0165A917-8B34-7444-9C44-E50C3E97CB72}" name="TRUMP PCT" dataDxfId="517"/>
    <tableColumn id="8" xr3:uid="{62336989-9A7C-6D46-84E4-3FE603532F48}" name="None" dataDxfId="516">
      <calculatedColumnFormula>1-(Table20[[#This Row],[NbP]]+Table20[[#This Row],[NbP2]])</calculatedColumnFormula>
    </tableColumn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3E7DAA3-1666-6F41-87F0-9BF4F1A0D95A}" name="Table23" displayName="Table23" ref="A20:C37" totalsRowShown="0" headerRowDxfId="515">
  <autoFilter ref="A20:C37" xr:uid="{F3E7DAA3-1666-6F41-87F0-9BF4F1A0D95A}"/>
  <sortState xmlns:xlrd2="http://schemas.microsoft.com/office/spreadsheetml/2017/richdata2" ref="A21:C37">
    <sortCondition ref="B20:B37"/>
  </sortState>
  <tableColumns count="3">
    <tableColumn id="1" xr3:uid="{E6A7980C-6E8D-9D48-8675-052235618806}" name="Rank" dataDxfId="514"/>
    <tableColumn id="2" xr3:uid="{F60D5C96-B48B-2D46-8BED-8D65D4A8EEBE}" name="County" dataCellStyle="Hyperlink"/>
    <tableColumn id="3" xr3:uid="{E4B192A6-8A6E-7741-9AFB-99E70D0DB053}" name="Population" dataDxfId="51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4EDA172-766D-A449-9D5B-AE4AB39B9A50}" name="Table64" displayName="Table64" ref="A1:D11" totalsRowShown="0" headerRowDxfId="512" dataDxfId="511">
  <autoFilter ref="A1:D11" xr:uid="{64EDA172-766D-A449-9D5B-AE4AB39B9A50}"/>
  <tableColumns count="4">
    <tableColumn id="1" xr3:uid="{D9EB0357-D00C-C343-8227-6DC59E3076CB}" name="Location" dataDxfId="510"/>
    <tableColumn id="2" xr3:uid="{8C63E6CF-88EE-A14B-8F28-6465C4215533}" name="Data Type" dataDxfId="509"/>
    <tableColumn id="3" xr3:uid="{4DB40079-E400-DE44-84BE-66956A2DC9F3}" name="2016" dataDxfId="508"/>
    <tableColumn id="4" xr3:uid="{7D30665F-9685-4B47-B83B-EB98734E5440}" name="NbP" dataDxfId="507">
      <calculatedColumnFormula>Table64[[#This Row],[2016]]/C14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683672A-DBF7-6D40-AAD3-98D1A3D88993}" name="Table65" displayName="Table65" ref="F1:M11" totalsRowShown="0" headerRowDxfId="506">
  <autoFilter ref="F1:M11" xr:uid="{7683672A-DBF7-6D40-AAD3-98D1A3D88993}"/>
  <sortState xmlns:xlrd2="http://schemas.microsoft.com/office/spreadsheetml/2017/richdata2" ref="F2:M11">
    <sortCondition ref="F1:F11"/>
  </sortState>
  <tableColumns count="8">
    <tableColumn id="1" xr3:uid="{C5FE6499-3D19-6741-A6E3-A581D3DCDDA2}" name="COUNTY" dataDxfId="505"/>
    <tableColumn id="2" xr3:uid="{B3E60C82-1CC0-7C4F-85AE-5C14798E458C}" name="BIDEN VOTES" dataDxfId="504"/>
    <tableColumn id="6" xr3:uid="{DC7D6C22-90E1-1E48-9707-C96F318F36F7}" name="NbP" dataDxfId="503">
      <calculatedColumnFormula>Table65[[#This Row],[BIDEN VOTES]]/C14</calculatedColumnFormula>
    </tableColumn>
    <tableColumn id="3" xr3:uid="{6FB6EFAE-E1BE-8C48-A3E6-F8D2DD0A5BA9}" name="BIDEN PCT" dataDxfId="502"/>
    <tableColumn id="4" xr3:uid="{84B0B28F-A251-C04B-A434-868CEDCB80F3}" name="TRUMP VOTES" dataDxfId="501"/>
    <tableColumn id="7" xr3:uid="{EBAEC6AE-F2C3-4341-A499-590C02D08384}" name="NbP2" dataDxfId="500">
      <calculatedColumnFormula>Table65[[#This Row],[TRUMP VOTES]]/C14</calculatedColumnFormula>
    </tableColumn>
    <tableColumn id="5" xr3:uid="{36FFF3A5-9001-F749-AF4D-84F4EA03106F}" name="TRUMP PCT" dataDxfId="499"/>
    <tableColumn id="8" xr3:uid="{A8BC2655-DC88-AE47-9694-669CF7A7C244}" name="None" dataDxfId="498">
      <calculatedColumnFormula>1-(Table65[[#This Row],[NbP]]+Table65[[#This Row],[NbP2]])</calculatedColumnFormula>
    </tableColumn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41B404A-F147-6E4A-BBB5-D5B6347B8731}" name="Table66" displayName="Table66" ref="A13:C23" totalsRowShown="0" headerRowDxfId="497">
  <autoFilter ref="A13:C23" xr:uid="{041B404A-F147-6E4A-BBB5-D5B6347B8731}"/>
  <sortState xmlns:xlrd2="http://schemas.microsoft.com/office/spreadsheetml/2017/richdata2" ref="A14:C23">
    <sortCondition ref="B13:B23"/>
  </sortState>
  <tableColumns count="3">
    <tableColumn id="1" xr3:uid="{1EAEC074-D976-2B42-AA6D-EA6C471592E3}" name="Rank" dataDxfId="496"/>
    <tableColumn id="2" xr3:uid="{1B05BC6E-C776-7245-A507-E3996E99F676}" name="County" dataCellStyle="Hyperlink"/>
    <tableColumn id="3" xr3:uid="{849827F3-32CC-1B41-93F9-65040FA40BD8}" name="Population" dataDxfId="495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9645BE1-9182-D945-9C9B-5987E68E5E8A}" name="Table67" displayName="Table67" ref="A1:D34" totalsRowShown="0" headerRowDxfId="494" dataDxfId="493">
  <autoFilter ref="A1:D34" xr:uid="{B9645BE1-9182-D945-9C9B-5987E68E5E8A}"/>
  <tableColumns count="4">
    <tableColumn id="1" xr3:uid="{1CE84232-C0A3-C249-BB52-104E7D7BFD7D}" name="Location" dataDxfId="492"/>
    <tableColumn id="2" xr3:uid="{C04F45B9-413A-6746-92DA-F22C08311162}" name="Data Type" dataDxfId="491"/>
    <tableColumn id="3" xr3:uid="{08B407FF-A267-7446-BFB0-FDC96BE9C3A4}" name="2021" dataDxfId="490"/>
    <tableColumn id="5" xr3:uid="{C85795A1-B9E1-F346-9020-28D2E3B4F6BE}" name="MM" dataDxfId="489">
      <calculatedColumnFormula>(C2-MIN(C:C))/(MAX(C:C)-MIN(C:C))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2221197-B3F5-9846-B9A6-1B055FA1AE4B}" name="Table47" displayName="Table47" ref="A19:C35" totalsRowShown="0" headerRowDxfId="653">
  <autoFilter ref="A19:C35" xr:uid="{A2221197-B3F5-9846-B9A6-1B055FA1AE4B}"/>
  <sortState xmlns:xlrd2="http://schemas.microsoft.com/office/spreadsheetml/2017/richdata2" ref="A20:C35">
    <sortCondition ref="B19:B35"/>
  </sortState>
  <tableColumns count="3">
    <tableColumn id="1" xr3:uid="{1C2EE6BC-121A-EB43-B9E0-5AD75E794C80}" name="Rank" dataDxfId="652"/>
    <tableColumn id="2" xr3:uid="{0A024B53-1E81-2745-B18C-1EDC055BB409}" name="County" dataCellStyle="Hyperlink"/>
    <tableColumn id="3" xr3:uid="{E647A903-5FEF-DE40-83F9-764012E97B48}" name="Population" dataDxfId="651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8D45BA2-F4F8-1345-9644-6172B8C11D30}" name="Table68" displayName="Table68" ref="F1:M34" totalsRowShown="0" headerRowDxfId="488">
  <autoFilter ref="F1:M34" xr:uid="{88D45BA2-F4F8-1345-9644-6172B8C11D30}"/>
  <sortState xmlns:xlrd2="http://schemas.microsoft.com/office/spreadsheetml/2017/richdata2" ref="F2:M34">
    <sortCondition ref="F1:F34"/>
  </sortState>
  <tableColumns count="8">
    <tableColumn id="1" xr3:uid="{64646F8D-717B-9047-AC7D-BDBB70D74A4B}" name="COUNTY" dataDxfId="487"/>
    <tableColumn id="2" xr3:uid="{1DE71F79-5937-C74C-961E-6A8D11B41480}" name="BIDEN VOTES" dataDxfId="486"/>
    <tableColumn id="6" xr3:uid="{C5817B63-45A6-3E47-A6AD-80BC3E53D7F3}" name="NbP" dataDxfId="485">
      <calculatedColumnFormula>Table68[[#This Row],[BIDEN VOTES]]/C37</calculatedColumnFormula>
    </tableColumn>
    <tableColumn id="3" xr3:uid="{179277C9-B853-954A-B47D-50002B15D49B}" name="BIDEN PCT" dataDxfId="484"/>
    <tableColumn id="4" xr3:uid="{0ECE345B-32BF-0D4E-BD48-27573109556F}" name="TRUMP VOTES" dataDxfId="483"/>
    <tableColumn id="7" xr3:uid="{4DA365BA-EA5B-DD48-943A-36399063754F}" name="NbP2" dataDxfId="482">
      <calculatedColumnFormula>Table68[[#This Row],[TRUMP VOTES]]/C37</calculatedColumnFormula>
    </tableColumn>
    <tableColumn id="5" xr3:uid="{7C8140E9-CA0D-5042-8C95-E04039C9E71F}" name="TRUMP PCT" dataDxfId="481"/>
    <tableColumn id="8" xr3:uid="{3DF62324-C67F-2249-9FDB-5D67E5661D75}" name="None" dataDxfId="480">
      <calculatedColumnFormula>1-(Table68[[#This Row],[NbP]]+Table68[[#This Row],[NbP2]])</calculatedColumnFormula>
    </tableColumn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76CD7D5-9910-2F4B-A568-9B1901DF8472}" name="Table69" displayName="Table69" ref="A36:C69" totalsRowShown="0" headerRowDxfId="479">
  <autoFilter ref="A36:C69" xr:uid="{476CD7D5-9910-2F4B-A568-9B1901DF8472}"/>
  <sortState xmlns:xlrd2="http://schemas.microsoft.com/office/spreadsheetml/2017/richdata2" ref="A37:C69">
    <sortCondition ref="B36:B69"/>
  </sortState>
  <tableColumns count="3">
    <tableColumn id="1" xr3:uid="{8766F3DA-BD64-9748-B703-9F31A07823F6}" name="Rank" dataDxfId="478"/>
    <tableColumn id="2" xr3:uid="{811FCD82-ECFB-634C-8CA5-DCE8998E7F32}" name="County" dataCellStyle="Hyperlink"/>
    <tableColumn id="3" xr3:uid="{8DF06EF8-1B0D-8B4E-AF15-7606D3676A32}" name="Population" dataDxfId="477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1BA1F74-3A18-4D4B-86CE-040A180B1424}" name="Table70" displayName="Table70" ref="A1:D58" totalsRowShown="0">
  <autoFilter ref="A1:D58" xr:uid="{41BA1F74-3A18-4D4B-86CE-040A180B1424}"/>
  <tableColumns count="4">
    <tableColumn id="1" xr3:uid="{4E14463E-26B8-FD43-8587-4EDF77954214}" name="County" dataDxfId="476"/>
    <tableColumn id="3" xr3:uid="{8E53F719-FE3C-EF4E-AEF9-77E55B05F1F3}" name="Rate" dataDxfId="475"/>
    <tableColumn id="2" xr3:uid="{0D952862-AE8E-1742-AA5A-510353CC5C3A}" name="2020" dataDxfId="474"/>
    <tableColumn id="4" xr3:uid="{FDAA23A4-84E6-D348-859B-6572D19965B1}" name="NbP" dataDxfId="473">
      <calculatedColumnFormula>Table70[[#This Row],[2020]]/C61</calculatedColumnFormula>
    </tableColumn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43A4C24D-16AE-4A44-9CBF-0F880B96451D}" name="Table71" displayName="Table71" ref="F1:M58" totalsRowShown="0" headerRowDxfId="472">
  <autoFilter ref="F1:M58" xr:uid="{43A4C24D-16AE-4A44-9CBF-0F880B96451D}"/>
  <sortState xmlns:xlrd2="http://schemas.microsoft.com/office/spreadsheetml/2017/richdata2" ref="F2:M58">
    <sortCondition ref="F1:F58"/>
  </sortState>
  <tableColumns count="8">
    <tableColumn id="1" xr3:uid="{49AC2757-50C1-C845-A884-4C77A4440BDA}" name="COUNTY" dataDxfId="471"/>
    <tableColumn id="2" xr3:uid="{18B6ABBE-D40F-3C45-9E1B-9BBB3875E227}" name="BIDEN VOTES" dataDxfId="470"/>
    <tableColumn id="6" xr3:uid="{DF57258B-38DE-3740-B709-46DA7F61A182}" name="NbP" dataDxfId="469">
      <calculatedColumnFormula>Table71[[#This Row],[BIDEN VOTES]]/C61</calculatedColumnFormula>
    </tableColumn>
    <tableColumn id="3" xr3:uid="{7F800A01-E6CE-564C-9981-88EC786B674D}" name="BIDEN PCT" dataDxfId="468"/>
    <tableColumn id="4" xr3:uid="{6C53477F-17AF-E64D-B8E4-1E16A2B6819E}" name="TRUMP VOTES" dataDxfId="467"/>
    <tableColumn id="7" xr3:uid="{D04F3B07-2885-BB42-8CE4-22B500F300D6}" name="NbP2" dataDxfId="466">
      <calculatedColumnFormula>Table71[[#This Row],[TRUMP VOTES]]/C61</calculatedColumnFormula>
    </tableColumn>
    <tableColumn id="5" xr3:uid="{519057DD-5E91-4A4A-9274-5897C383F3CA}" name="TRUMP PCT" dataDxfId="465"/>
    <tableColumn id="8" xr3:uid="{15FE8B98-2C76-754A-9056-558116E14A2A}" name="None" dataDxfId="464">
      <calculatedColumnFormula>1-(Table71[[#This Row],[NbP]]+Table71[[#This Row],[NbP2]])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2ED0C84-D46D-DD4E-807B-6BCC030ED53E}" name="Table72" displayName="Table72" ref="A60:C117" totalsRowShown="0" headerRowDxfId="463">
  <autoFilter ref="A60:C117" xr:uid="{02ED0C84-D46D-DD4E-807B-6BCC030ED53E}"/>
  <sortState xmlns:xlrd2="http://schemas.microsoft.com/office/spreadsheetml/2017/richdata2" ref="A61:C117">
    <sortCondition ref="B60:B117"/>
  </sortState>
  <tableColumns count="3">
    <tableColumn id="1" xr3:uid="{91D3132D-79A8-A441-8C35-0DF2F2B8328E}" name="Rank" dataDxfId="462"/>
    <tableColumn id="2" xr3:uid="{63D250A3-7FFF-9A4D-BE3D-C7AF8E2F5802}" name="County" dataCellStyle="Hyperlink"/>
    <tableColumn id="3" xr3:uid="{9F300F48-9B42-3A47-AD3C-1F9AD3A32BDA}" name="Population" dataDxfId="461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28A50E69-F7CB-8144-B86A-DB3BC0AA3220}" name="Table73" displayName="Table73" ref="A1:E101" totalsRowShown="0" headerRowDxfId="460" dataDxfId="459">
  <autoFilter ref="A1:E101" xr:uid="{28A50E69-F7CB-8144-B86A-DB3BC0AA3220}"/>
  <sortState xmlns:xlrd2="http://schemas.microsoft.com/office/spreadsheetml/2017/richdata2" ref="A2:E101">
    <sortCondition ref="A1:A101"/>
  </sortState>
  <tableColumns count="5">
    <tableColumn id="1" xr3:uid="{54824368-D4E0-DB44-8019-87F50336B064}" name="Location" dataDxfId="458"/>
    <tableColumn id="2" xr3:uid="{3A3BB25B-AFD0-5D4A-993D-2EC7A0A6307B}" name="Category" dataDxfId="457"/>
    <tableColumn id="3" xr3:uid="{EB05F69E-ED48-3349-A66C-12E4ECBE23AB}" name="Data Type" dataDxfId="456"/>
    <tableColumn id="4" xr3:uid="{6D418E8C-991D-D34C-B6A9-4EB72BB2B453}" name="2020" dataDxfId="455"/>
    <tableColumn id="5" xr3:uid="{A15CFA62-1661-2348-9D7A-5E59508F9012}" name="NbP" dataDxfId="454">
      <calculatedColumnFormula>Table73[[#This Row],[2020]]/C104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1A337FBF-A195-6548-9CEA-04FB1F4F529D}" name="Table74" displayName="Table74" ref="G1:N101" totalsRowShown="0" headerRowDxfId="453">
  <autoFilter ref="G1:N101" xr:uid="{1A337FBF-A195-6548-9CEA-04FB1F4F529D}"/>
  <sortState xmlns:xlrd2="http://schemas.microsoft.com/office/spreadsheetml/2017/richdata2" ref="G2:N101">
    <sortCondition ref="G1:G101"/>
  </sortState>
  <tableColumns count="8">
    <tableColumn id="1" xr3:uid="{D8306593-CC57-094A-AC52-0CFCE5EA7154}" name="COUNTY" dataDxfId="452"/>
    <tableColumn id="2" xr3:uid="{D8F0F5CE-AE62-004C-B08C-FE151719F4A3}" name="TRUMP VOTES" dataDxfId="451"/>
    <tableColumn id="6" xr3:uid="{1A954631-3701-8F4C-9332-FDF35E80E797}" name="NbP" dataDxfId="450">
      <calculatedColumnFormula>Table74[[#This Row],[TRUMP VOTES]]/C104</calculatedColumnFormula>
    </tableColumn>
    <tableColumn id="3" xr3:uid="{86C8EC70-57A1-7047-A8D4-9EB6E7EA1F2A}" name="TRUMP PCT" dataDxfId="449"/>
    <tableColumn id="4" xr3:uid="{ED4E34B2-EAB7-8245-941A-C70EF070AC84}" name="BIDEN VOTES" dataDxfId="448"/>
    <tableColumn id="7" xr3:uid="{0012250D-4751-0649-B4D1-97EF701A2703}" name="NbP2" dataDxfId="447">
      <calculatedColumnFormula>Table74[[#This Row],[BIDEN VOTES]]/C104</calculatedColumnFormula>
    </tableColumn>
    <tableColumn id="5" xr3:uid="{170C798E-B04F-5443-A6CC-4303E3A61A5F}" name="BIDEN PCT" dataDxfId="446"/>
    <tableColumn id="8" xr3:uid="{068485DC-A469-6A4D-ACB5-185DCE186F2B}" name="None" dataDxfId="445">
      <calculatedColumnFormula>1-(Table74[[#This Row],[NbP]]+Table74[[#This Row],[NbP2]])</calculatedColumnFormula>
    </tableColumn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AF600BE-922C-E841-99FD-DCF00B20AB18}" name="Table75" displayName="Table75" ref="A103:C203" totalsRowShown="0" headerRowDxfId="444">
  <autoFilter ref="A103:C203" xr:uid="{6AF600BE-922C-E841-99FD-DCF00B20AB18}"/>
  <sortState xmlns:xlrd2="http://schemas.microsoft.com/office/spreadsheetml/2017/richdata2" ref="A104:C203">
    <sortCondition ref="B103:B203"/>
  </sortState>
  <tableColumns count="3">
    <tableColumn id="1" xr3:uid="{D4E49B84-71F0-5841-A057-1FBE2D0C64EE}" name="Rank" dataDxfId="443"/>
    <tableColumn id="2" xr3:uid="{E7D3C4FD-CE2C-9749-99FE-612BCFB06239}" name="County" dataCellStyle="Hyperlink"/>
    <tableColumn id="3" xr3:uid="{E2383A04-028E-494D-8BB6-FD176FD45442}" name="Population" dataDxfId="442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5419AD4F-4D82-6645-9BDE-74E5574956BF}" name="Table76" displayName="Table76" ref="A1:D54" totalsRowShown="0" headerRowDxfId="441" dataDxfId="440">
  <autoFilter ref="A1:D54" xr:uid="{5419AD4F-4D82-6645-9BDE-74E5574956BF}"/>
  <sortState xmlns:xlrd2="http://schemas.microsoft.com/office/spreadsheetml/2017/richdata2" ref="A2:D54">
    <sortCondition ref="A1:A54"/>
  </sortState>
  <tableColumns count="4">
    <tableColumn id="1" xr3:uid="{383E63E4-AAE6-864D-A541-E42AF5E24A9B}" name="Location" dataDxfId="439"/>
    <tableColumn id="2" xr3:uid="{4ABC6FF3-EF1E-0246-8293-EAE9448ECFC9}" name="Data Type" dataDxfId="438"/>
    <tableColumn id="3" xr3:uid="{D1416A4A-85F9-7444-AF4A-D7F5366D51A4}" name="2020" dataDxfId="437"/>
    <tableColumn id="4" xr3:uid="{FD3240A4-0704-DE42-B6F6-2F851B23837F}" name="NbP" dataDxfId="436">
      <calculatedColumnFormula>Table76[[#This Row],[2020]]/C57</calculatedColumnFormula>
    </tableColumn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614B9993-3457-1F42-836A-BA09E7BB4848}" name="Table77" displayName="Table77" ref="F1:M54" totalsRowShown="0" headerRowDxfId="435">
  <autoFilter ref="F1:M54" xr:uid="{614B9993-3457-1F42-836A-BA09E7BB4848}"/>
  <sortState xmlns:xlrd2="http://schemas.microsoft.com/office/spreadsheetml/2017/richdata2" ref="F2:M54">
    <sortCondition ref="F1:F54"/>
  </sortState>
  <tableColumns count="8">
    <tableColumn id="1" xr3:uid="{53B8984B-B48E-9D44-AC42-CCD2A7706EE8}" name="COUNTY" dataDxfId="434"/>
    <tableColumn id="2" xr3:uid="{3730FB78-8282-C04C-8C0B-574923DFC74D}" name="TRUMP VOTES" dataDxfId="433"/>
    <tableColumn id="6" xr3:uid="{C4E59891-51DB-C74E-AF8B-F72914131A40}" name="NbP" dataDxfId="432">
      <calculatedColumnFormula>Table77[[#This Row],[TRUMP VOTES]]/C57</calculatedColumnFormula>
    </tableColumn>
    <tableColumn id="3" xr3:uid="{966A2A13-D229-A549-869F-B1ADAE373774}" name="TRUMP PCT" dataDxfId="431"/>
    <tableColumn id="4" xr3:uid="{8068EFE2-87CB-2D4A-82AC-0C9DD072E327}" name="BIDEN VOTES" dataDxfId="430"/>
    <tableColumn id="7" xr3:uid="{91CFA8B3-E584-FF48-ADD2-51CF1D9D3FD8}" name="NbP2" dataDxfId="429">
      <calculatedColumnFormula>Table77[[#This Row],[BIDEN VOTES]]/C57</calculatedColumnFormula>
    </tableColumn>
    <tableColumn id="5" xr3:uid="{F96F0D33-B9E3-3947-80ED-3B0095163EF0}" name="BIDEN PCT" dataDxfId="428"/>
    <tableColumn id="8" xr3:uid="{B0232365-34D4-A142-8DFC-3D681F25973B}" name="None" dataDxfId="427">
      <calculatedColumnFormula>1-(Table77[[#This Row],[NbP]]+Table77[[#This Row],[NbP2]])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7BE8E8C-05E8-BC4C-B9E2-0CDCA173438F}" name="Table48" displayName="Table48" ref="F1:M17" totalsRowShown="0" headerRowDxfId="650">
  <autoFilter ref="F1:M17" xr:uid="{27BE8E8C-05E8-BC4C-B9E2-0CDCA173438F}"/>
  <sortState xmlns:xlrd2="http://schemas.microsoft.com/office/spreadsheetml/2017/richdata2" ref="F2:L17">
    <sortCondition ref="F1:F17"/>
  </sortState>
  <tableColumns count="8">
    <tableColumn id="1" xr3:uid="{8C6A54B1-9207-FD4C-AFAB-23E080A0D471}" name="COUNTY" dataDxfId="649"/>
    <tableColumn id="2" xr3:uid="{F6AE6CBB-2AE1-974E-B3AC-790FF76B50E6}" name="BIDEN VOTES" dataDxfId="648"/>
    <tableColumn id="6" xr3:uid="{9E1AE602-D37E-3347-826C-E11D052A25C4}" name="NbP" dataDxfId="647">
      <calculatedColumnFormula>Table48[[#This Row],[BIDEN VOTES]]/C20</calculatedColumnFormula>
    </tableColumn>
    <tableColumn id="3" xr3:uid="{81196D4D-7C5A-9E49-A510-90D1A6A32BC2}" name="BIDEN PCT" dataDxfId="646"/>
    <tableColumn id="4" xr3:uid="{B9D26206-4D26-1744-9088-715021B69B08}" name="TRUMP VOTES" dataDxfId="645"/>
    <tableColumn id="7" xr3:uid="{15313CD9-F778-C24D-8D1D-CB4E107496E3}" name="NbP2" dataDxfId="644">
      <calculatedColumnFormula>Table48[[#This Row],[TRUMP VOTES]]/C20</calculatedColumnFormula>
    </tableColumn>
    <tableColumn id="5" xr3:uid="{8662F01D-C7C8-B246-B4A0-EEF47F4C6F0F}" name="TRUMP PCT" dataDxfId="643"/>
    <tableColumn id="8" xr3:uid="{57E0FCE6-424C-6140-AB23-ACED681D98B0}" name="None" dataDxfId="642">
      <calculatedColumnFormula>1-(Table48[[#This Row],[NbP]]+Table48[[#This Row],[NbP2]])</calculatedColumnFormula>
    </tableColumn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A786829F-1136-4C44-BEAB-25DE0DB60029}" name="Table78" displayName="Table78" ref="A56:C109" totalsRowShown="0" headerRowDxfId="426">
  <autoFilter ref="A56:C109" xr:uid="{A786829F-1136-4C44-BEAB-25DE0DB60029}"/>
  <sortState xmlns:xlrd2="http://schemas.microsoft.com/office/spreadsheetml/2017/richdata2" ref="A57:C109">
    <sortCondition ref="B56:B109"/>
  </sortState>
  <tableColumns count="3">
    <tableColumn id="1" xr3:uid="{01C155E0-329E-2746-836C-A2218C3C4F37}" name="Rank" dataDxfId="425"/>
    <tableColumn id="2" xr3:uid="{CF99A57D-D604-2A4F-868C-11139D36CFC5}" name="County" dataCellStyle="Hyperlink"/>
    <tableColumn id="3" xr3:uid="{EC3F4636-D1E0-5E46-BDF8-8FED163878AE}" name="Population" dataDxfId="424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E73273D-C3F7-7C4F-A8F7-5B1ED8120842}" name="Table79" displayName="Table79" ref="A1:D89" totalsRowShown="0" headerRowDxfId="423" dataDxfId="422">
  <autoFilter ref="A1:D89" xr:uid="{BE73273D-C3F7-7C4F-A8F7-5B1ED8120842}"/>
  <tableColumns count="4">
    <tableColumn id="1" xr3:uid="{F9D9456B-2343-904C-9BEA-48B0E308D4BF}" name="Location" dataDxfId="421"/>
    <tableColumn id="2" xr3:uid="{5B9B2816-173D-BE4A-AFDA-EC2E1F97EAB8}" name="Data Type" dataDxfId="420"/>
    <tableColumn id="3" xr3:uid="{3FA9EF8D-417D-CE4C-BBB7-28E799A15DC0}" name="2020" dataDxfId="419"/>
    <tableColumn id="4" xr3:uid="{934749E7-B32F-C443-8D78-C8E10E226493}" name="NbP" dataDxfId="418">
      <calculatedColumnFormula>Table79[[#This Row],[2020]]/C92</calculatedColumnFormula>
    </tableColumn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C7DC1F28-7EF4-D242-A744-31318DBC080B}" name="Table80" displayName="Table80" ref="F1:M89" totalsRowShown="0" headerRowDxfId="417">
  <autoFilter ref="F1:M89" xr:uid="{C7DC1F28-7EF4-D242-A744-31318DBC080B}"/>
  <sortState xmlns:xlrd2="http://schemas.microsoft.com/office/spreadsheetml/2017/richdata2" ref="F2:M89">
    <sortCondition ref="F1:F89"/>
  </sortState>
  <tableColumns count="8">
    <tableColumn id="1" xr3:uid="{05F6173D-6DFF-BD4D-ACAB-BAC07683607A}" name="COUNTY" dataDxfId="416"/>
    <tableColumn id="2" xr3:uid="{7D35D925-E1E1-574A-8746-BD6FA5924756}" name="TRUMP VOTES" dataDxfId="415"/>
    <tableColumn id="6" xr3:uid="{19848C2F-B707-EC42-9BFC-171F3980020F}" name="NbP" dataDxfId="414">
      <calculatedColumnFormula>Table80[[#This Row],[TRUMP VOTES]]/C92</calculatedColumnFormula>
    </tableColumn>
    <tableColumn id="3" xr3:uid="{9E74129A-5B6B-6740-B1D9-FA1531E1822F}" name="TRUMP PCT" dataDxfId="413"/>
    <tableColumn id="4" xr3:uid="{1653ECA4-4649-0542-B355-13167A401412}" name="BIDEN VOTES" dataDxfId="412"/>
    <tableColumn id="7" xr3:uid="{615E2758-E72E-AF4D-81B5-43CF1F1E49A9}" name="NbP2" dataDxfId="411">
      <calculatedColumnFormula>Table80[[#This Row],[BIDEN VOTES]]/C92</calculatedColumnFormula>
    </tableColumn>
    <tableColumn id="5" xr3:uid="{5046179F-1B4A-9642-B21C-405026C79967}" name="BIDEN PCT" dataDxfId="410"/>
    <tableColumn id="8" xr3:uid="{A4DD2248-5B49-6440-88D8-532DADCD8EBF}" name="None" dataDxfId="409">
      <calculatedColumnFormula>1-(Table80[[#This Row],[NbP]]+Table80[[#This Row],[NbP2]])</calculatedColumnFormula>
    </tableColumn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F1777CF-8625-4347-AE15-A206E4B25985}" name="Table81" displayName="Table81" ref="A91:C179" totalsRowShown="0" headerRowDxfId="408">
  <autoFilter ref="A91:C179" xr:uid="{EF1777CF-8625-4347-AE15-A206E4B25985}"/>
  <sortState xmlns:xlrd2="http://schemas.microsoft.com/office/spreadsheetml/2017/richdata2" ref="A92:C179">
    <sortCondition ref="B91:B179"/>
  </sortState>
  <tableColumns count="3">
    <tableColumn id="1" xr3:uid="{D8C1AC82-87A4-DB4A-9ADA-B4DA7B338F15}" name="Rank" dataDxfId="407"/>
    <tableColumn id="2" xr3:uid="{B31A1854-3290-5A44-85EB-8EE1BE6603CB}" name="County" dataCellStyle="Hyperlink"/>
    <tableColumn id="3" xr3:uid="{19BC7A92-8BC0-B741-9F32-C82D99547D99}" name="Population" dataDxfId="406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78C395D-14DB-974E-9853-DBE692BCDF09}" name="Table82" displayName="Table82" ref="A1:D78" totalsRowShown="0" headerRowDxfId="405" dataDxfId="404">
  <autoFilter ref="A1:D78" xr:uid="{F78C395D-14DB-974E-9853-DBE692BCDF09}"/>
  <sortState xmlns:xlrd2="http://schemas.microsoft.com/office/spreadsheetml/2017/richdata2" ref="A2:D78">
    <sortCondition ref="A1:A78"/>
  </sortState>
  <tableColumns count="4">
    <tableColumn id="1" xr3:uid="{027A0638-BA35-B44B-BA6E-0E624796D6AC}" name="Location" dataDxfId="403"/>
    <tableColumn id="2" xr3:uid="{9F3FC764-1283-ED4C-B620-7A78E626D2F3}" name="Data Type" dataDxfId="402"/>
    <tableColumn id="3" xr3:uid="{15569F4C-770D-B647-84CD-8346E9F808A9}" name="2019" dataDxfId="401"/>
    <tableColumn id="4" xr3:uid="{436A3D7E-C0BC-BD41-A49F-2EC378E10456}" name="NbP" dataDxfId="400">
      <calculatedColumnFormula>Table82[[#This Row],[2019]]/C81</calculatedColumnFormula>
    </tableColumn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12F62425-184F-9B43-9E9F-6C32996FF4FC}" name="Table83" displayName="Table83" ref="F1:M78" totalsRowShown="0" headerRowDxfId="399">
  <autoFilter ref="F1:M78" xr:uid="{12F62425-184F-9B43-9E9F-6C32996FF4FC}"/>
  <sortState xmlns:xlrd2="http://schemas.microsoft.com/office/spreadsheetml/2017/richdata2" ref="F2:M78">
    <sortCondition ref="F1:F78"/>
  </sortState>
  <tableColumns count="8">
    <tableColumn id="1" xr3:uid="{8DF56923-A8DC-4045-B2A2-A2BD785E3B9A}" name="COUNTY" dataDxfId="398"/>
    <tableColumn id="2" xr3:uid="{EFA9BDBE-A9F2-234D-A53C-5758D6D6DAC3}" name="TRUMP VOTES" dataDxfId="397"/>
    <tableColumn id="6" xr3:uid="{20057653-B185-AC49-BCA5-8A997C7EBF6A}" name="NbP" dataDxfId="396">
      <calculatedColumnFormula>Table83[[#This Row],[TRUMP VOTES]]/C81</calculatedColumnFormula>
    </tableColumn>
    <tableColumn id="3" xr3:uid="{23741DBD-DBB9-1F43-AB09-F694B909E3A1}" name="TRUMP PCT" dataDxfId="395"/>
    <tableColumn id="4" xr3:uid="{DF7B1A2C-FE50-4A47-8704-168452297094}" name="BIDEN VOTES" dataDxfId="394"/>
    <tableColumn id="7" xr3:uid="{A4B47DA5-A94C-C247-8A95-8E36E29FBBD8}" name="NbP2" dataDxfId="393">
      <calculatedColumnFormula>Table83[[#This Row],[BIDEN VOTES]]/C81</calculatedColumnFormula>
    </tableColumn>
    <tableColumn id="5" xr3:uid="{55D6A2F0-1287-BC4C-8FB4-19792BB0614A}" name="BIDEN PCT" dataDxfId="392"/>
    <tableColumn id="8" xr3:uid="{07333B33-3088-454C-A649-0C63DEF8BD29}" name="None" dataDxfId="391">
      <calculatedColumnFormula>1-(Table83[[#This Row],[NbP]]+Table83[[#This Row],[NbP2]])</calculatedColumnFormula>
    </tableColumn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EA953D46-A50D-C348-BED7-A2998B186EB3}" name="Table84" displayName="Table84" ref="A80:C157" totalsRowShown="0" headerRowDxfId="390">
  <autoFilter ref="A80:C157" xr:uid="{EA953D46-A50D-C348-BED7-A2998B186EB3}"/>
  <sortState xmlns:xlrd2="http://schemas.microsoft.com/office/spreadsheetml/2017/richdata2" ref="A81:C157">
    <sortCondition ref="B80:B157"/>
  </sortState>
  <tableColumns count="3">
    <tableColumn id="1" xr3:uid="{0C970B67-A99B-5048-B618-E22898163B84}" name="Rank" dataDxfId="389"/>
    <tableColumn id="2" xr3:uid="{BE18436B-AC32-144A-8119-D0891D8923DD}" name="County" dataCellStyle="Hyperlink"/>
    <tableColumn id="3" xr3:uid="{BC39C2D7-C634-B644-9827-C5A96D6159EE}" name="Population" dataDxfId="388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43C49F0-95FB-1E4F-AC87-55EFCA0B7CDF}" name="Table85" displayName="Table85" ref="A1:E68" totalsRowShown="0" headerRowDxfId="387" dataDxfId="386">
  <autoFilter ref="A1:E68" xr:uid="{943C49F0-95FB-1E4F-AC87-55EFCA0B7CDF}"/>
  <tableColumns count="5">
    <tableColumn id="1" xr3:uid="{6F0F03AF-B637-8A48-8E8A-E166CDB7194D}" name="Location" dataDxfId="385"/>
    <tableColumn id="2" xr3:uid="{317765FA-A597-DD4E-AB16-12318F3F9AD2}" name="Cases" dataDxfId="384"/>
    <tableColumn id="3" xr3:uid="{358C9D68-666A-6544-832D-4B030F676514}" name="Data Type" dataDxfId="383"/>
    <tableColumn id="4" xr3:uid="{A71C77C9-A595-2440-AEC2-A10E5EE323E2}" name="2018" dataDxfId="382"/>
    <tableColumn id="5" xr3:uid="{DAB10005-2221-F245-B1FD-254BF05C4292}" name="NbP" dataDxfId="381">
      <calculatedColumnFormula>Table85[[#This Row],[2018]]/C71</calculatedColumnFormula>
    </tableColumn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FBDD63D-D226-E04E-A323-BD1A4E753835}" name="Table86" displayName="Table86" ref="G1:N68" totalsRowShown="0" headerRowDxfId="380">
  <autoFilter ref="G1:N68" xr:uid="{AFBDD63D-D226-E04E-A323-BD1A4E753835}"/>
  <tableColumns count="8">
    <tableColumn id="1" xr3:uid="{E59C0786-17BF-2547-8530-1D2F60695D56}" name="COUNTY" dataDxfId="379"/>
    <tableColumn id="2" xr3:uid="{2855152F-2B50-0B4A-B25C-6A587D21ED9B}" name="BIDEN VOTES" dataDxfId="378"/>
    <tableColumn id="6" xr3:uid="{CB893712-2864-1144-86FE-5BFF5FECCF53}" name="NbP" dataDxfId="377">
      <calculatedColumnFormula>Table86[[#This Row],[BIDEN VOTES]]/C71</calculatedColumnFormula>
    </tableColumn>
    <tableColumn id="3" xr3:uid="{613231E8-6D9F-C045-8B89-F2D316C8F418}" name="BIDEN PCT" dataDxfId="376"/>
    <tableColumn id="4" xr3:uid="{6D519039-0AE7-4740-9F8D-831FF46F30D9}" name="TRUMP VOTES" dataDxfId="375"/>
    <tableColumn id="7" xr3:uid="{932B71C3-64E8-BE4B-B29C-0585511237F6}" name="NbP2" dataDxfId="374">
      <calculatedColumnFormula>Table86[[#This Row],[TRUMP VOTES]]/C71</calculatedColumnFormula>
    </tableColumn>
    <tableColumn id="5" xr3:uid="{A85220CA-19AA-874A-A5B5-68068FACF699}" name="TRUMP PCT" dataDxfId="373"/>
    <tableColumn id="8" xr3:uid="{87F350C4-55C3-FB41-8959-A284D1DBF90D}" name="None" dataDxfId="372">
      <calculatedColumnFormula>1-(Table86[[#This Row],[NbP]]+Table86[[#This Row],[NbP2]])</calculatedColumnFormula>
    </tableColumn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8636D205-D55D-9E48-90B3-044280BA58BD}" name="Table87" displayName="Table87" ref="A70:C137" totalsRowShown="0" headerRowDxfId="371">
  <autoFilter ref="A70:C137" xr:uid="{8636D205-D55D-9E48-90B3-044280BA58BD}"/>
  <sortState xmlns:xlrd2="http://schemas.microsoft.com/office/spreadsheetml/2017/richdata2" ref="A71:C137">
    <sortCondition ref="B70:B137"/>
  </sortState>
  <tableColumns count="3">
    <tableColumn id="1" xr3:uid="{D9540C6E-44BB-B949-BF22-AA290C097D4E}" name="Rank" dataDxfId="370"/>
    <tableColumn id="2" xr3:uid="{9EE3CA6D-ED2E-4C4B-BBAF-17E609F3966A}" name="County" dataCellStyle="Hyperlink"/>
    <tableColumn id="3" xr3:uid="{7EB4D918-845E-504C-84C4-0BDB059A0E66}" name="Population" dataDxfId="36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3B115C7-1367-FF44-AD3A-F5B359D23DB7}" name="Table49" displayName="Table49" ref="A1:E25" totalsRowShown="0" headerRowDxfId="641" dataDxfId="640">
  <autoFilter ref="A1:E25" xr:uid="{83B115C7-1367-FF44-AD3A-F5B359D23DB7}"/>
  <sortState xmlns:xlrd2="http://schemas.microsoft.com/office/spreadsheetml/2017/richdata2" ref="A2:E25">
    <sortCondition ref="A1:A25"/>
  </sortState>
  <tableColumns count="5">
    <tableColumn id="1" xr3:uid="{130898FE-A6B2-2B49-A3DC-05FB5527E28C}" name="Location" dataDxfId="639"/>
    <tableColumn id="2" xr3:uid="{5A8317EF-62D7-4444-A65C-8A2B41DD5098}" name="Time" dataDxfId="638"/>
    <tableColumn id="3" xr3:uid="{FBCC5961-910B-E849-A1EF-5DBE7CDAFCE3}" name="Data Type" dataDxfId="637"/>
    <tableColumn id="4" xr3:uid="{93DD02D5-453A-464B-930D-F27274373618}" name="2020" dataDxfId="636"/>
    <tableColumn id="5" xr3:uid="{973592E8-512B-A041-BB46-CC6CE9182D06}" name="NbP" dataDxfId="635">
      <calculatedColumnFormula>Table49[[#This Row],[2020]]/C28</calculatedColumnFormula>
    </tableColumn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4016BE5-494D-B741-8A05-6BB7A584E2D6}" name="Table88" displayName="Table88" ref="A1:D47" totalsRowShown="0" headerRowDxfId="368" dataDxfId="367">
  <autoFilter ref="A1:D47" xr:uid="{74016BE5-494D-B741-8A05-6BB7A584E2D6}"/>
  <sortState xmlns:xlrd2="http://schemas.microsoft.com/office/spreadsheetml/2017/richdata2" ref="A2:D47">
    <sortCondition ref="A1:A47"/>
  </sortState>
  <tableColumns count="4">
    <tableColumn id="1" xr3:uid="{DAFC2757-2E8A-A347-859D-13661822AB4A}" name="Location" dataDxfId="366"/>
    <tableColumn id="2" xr3:uid="{AB1F143D-A67B-D34F-8A49-AC4F0C6323FC}" name="Data Type" dataDxfId="365"/>
    <tableColumn id="3" xr3:uid="{1C8F1ABA-37E0-E44A-B438-DA188FA95A10}" name="SFY2019 - 2020" dataDxfId="364"/>
    <tableColumn id="4" xr3:uid="{E8112456-1B81-EF44-B6FA-10685832A89F}" name="NbP" dataDxfId="363">
      <calculatedColumnFormula>Table88[[#This Row],[SFY2019 - 2020]]/C50</calculatedColumnFormula>
    </tableColumn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B1FB1D78-292C-7A4F-A103-D46A226A38E9}" name="Table89" displayName="Table89" ref="F1:M47" totalsRowShown="0" headerRowDxfId="362">
  <autoFilter ref="F1:M47" xr:uid="{B1FB1D78-292C-7A4F-A103-D46A226A38E9}"/>
  <sortState xmlns:xlrd2="http://schemas.microsoft.com/office/spreadsheetml/2017/richdata2" ref="F2:M47">
    <sortCondition ref="F1:F47"/>
  </sortState>
  <tableColumns count="8">
    <tableColumn id="1" xr3:uid="{C34886B1-60A0-7C44-A852-F12F0F5B4483}" name="COUNTY" dataDxfId="361"/>
    <tableColumn id="2" xr3:uid="{86B604DC-35D2-D545-95DF-BD1F34DCDA47}" name="TRUMP VOTES" dataDxfId="360"/>
    <tableColumn id="6" xr3:uid="{C85AF35C-34BE-354C-9785-C969141FB4B2}" name="NbP" dataDxfId="359">
      <calculatedColumnFormula>Table89[[#This Row],[TRUMP VOTES]]/C50</calculatedColumnFormula>
    </tableColumn>
    <tableColumn id="3" xr3:uid="{18975266-99FE-3F41-B685-33EA481A1A86}" name="TRUMP PCT" dataDxfId="358"/>
    <tableColumn id="4" xr3:uid="{C265E3F5-04A7-294F-9AEC-A01D5F6697F2}" name="BIDEN VOTES" dataDxfId="357"/>
    <tableColumn id="7" xr3:uid="{958FD1EA-E633-2143-A731-1F8AB1764FFA}" name="NbP2" dataDxfId="356">
      <calculatedColumnFormula>Table89[[#This Row],[BIDEN VOTES]]/C50</calculatedColumnFormula>
    </tableColumn>
    <tableColumn id="5" xr3:uid="{FEA5110F-026B-F447-9E6F-FEEFC2B77FFA}" name="BIDEN PCT" dataDxfId="355"/>
    <tableColumn id="8" xr3:uid="{F78FDC14-9FFB-4140-9924-93BA7C703CFA}" name="None" dataDxfId="354">
      <calculatedColumnFormula>1-(Table89[[#This Row],[NbP2]]+Table89[[#This Row],[NbP]])</calculatedColumnFormula>
    </tableColumn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138A02D0-4512-A740-B1E6-5B9E86393D86}" name="Table90" displayName="Table90" ref="A49:C95" totalsRowShown="0" headerRowDxfId="353">
  <autoFilter ref="A49:C95" xr:uid="{138A02D0-4512-A740-B1E6-5B9E86393D86}"/>
  <sortState xmlns:xlrd2="http://schemas.microsoft.com/office/spreadsheetml/2017/richdata2" ref="A50:C95">
    <sortCondition ref="B49:B95"/>
  </sortState>
  <tableColumns count="3">
    <tableColumn id="1" xr3:uid="{B6828837-89CB-3C46-B1D5-FF8F7C50AC52}" name="Rank" dataDxfId="352"/>
    <tableColumn id="2" xr3:uid="{E9CEA809-152A-4D4F-8325-A263FF84E857}" name="County" dataCellStyle="Hyperlink"/>
    <tableColumn id="3" xr3:uid="{15160820-B95C-4A4F-87FA-4C3B8F6730DD}" name="Population" dataDxfId="351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D04E52F-01D8-5C4C-8A71-11EF54BBCFA1}" name="Table91" displayName="Table91" ref="A1:D30" totalsRowShown="0" headerRowDxfId="350" dataDxfId="349">
  <autoFilter ref="A1:D30" xr:uid="{BD04E52F-01D8-5C4C-8A71-11EF54BBCFA1}"/>
  <tableColumns count="4">
    <tableColumn id="1" xr3:uid="{2C1CEEE1-1D3F-CD4D-BF87-0B597A8F7D73}" name="Location" dataDxfId="348"/>
    <tableColumn id="2" xr3:uid="{B654533F-B2C1-E347-9190-8986D5EA772D}" name="Data Type" dataDxfId="347"/>
    <tableColumn id="3" xr3:uid="{944A1721-7DAE-814F-B0D4-D3AB62545001}" name="2014" dataDxfId="346"/>
    <tableColumn id="4" xr3:uid="{EB2D9930-0ADB-0443-B2AD-276FD54AE627}" name="NbP" dataDxfId="345">
      <calculatedColumnFormula>Table91[[#This Row],[2014]]/C33</calculatedColumnFormula>
    </tableColumn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FD6F5B8-FB63-DF44-8F1D-B8710BA8946D}" name="Table92" displayName="Table92" ref="F1:M30" totalsRowShown="0" headerRowDxfId="344">
  <autoFilter ref="F1:M30" xr:uid="{7FD6F5B8-FB63-DF44-8F1D-B8710BA8946D}"/>
  <tableColumns count="8">
    <tableColumn id="1" xr3:uid="{5AE03864-6544-2249-977D-4E3E970FF400}" name="COUNTY" dataDxfId="343"/>
    <tableColumn id="2" xr3:uid="{B3CB77B1-FD45-BE4C-980E-4D88F3B1AC56}" name="TRUMP VOTES" dataDxfId="342"/>
    <tableColumn id="6" xr3:uid="{94681FBC-D83B-904E-AE4F-EFEF55BB0326}" name="NbP" dataDxfId="341">
      <calculatedColumnFormula>Table92[[#This Row],[TRUMP VOTES]]/C33</calculatedColumnFormula>
    </tableColumn>
    <tableColumn id="3" xr3:uid="{0C1F53D9-EEF9-144E-8248-E972B84D69BB}" name="TRUMP PCT" dataDxfId="340"/>
    <tableColumn id="4" xr3:uid="{5DF1F441-5AB1-BF40-9D6B-1D35945DD518}" name="BIDEN VOTES" dataDxfId="339"/>
    <tableColumn id="7" xr3:uid="{20B60A76-4C27-E748-9CA1-DB54C5236C6A}" name="NbP2" dataDxfId="338">
      <calculatedColumnFormula>Table92[[#This Row],[BIDEN VOTES]]/C33</calculatedColumnFormula>
    </tableColumn>
    <tableColumn id="5" xr3:uid="{1B07859D-D725-7240-B4BF-A7086A38F934}" name="BIDEN PCT" dataDxfId="337"/>
    <tableColumn id="8" xr3:uid="{392F5FC2-93FE-CC41-87AF-1BBCAE46BB57}" name="None" dataDxfId="336">
      <calculatedColumnFormula>1-(Table92[[#This Row],[NbP2]]+Table92[[#This Row],[NbP]])</calculatedColumnFormula>
    </tableColumn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CB7C60C2-C0EB-D949-9E83-A6F7571B7FEF}" name="Table93" displayName="Table93" ref="A32:C61" totalsRowShown="0" headerRowDxfId="335">
  <autoFilter ref="A32:C61" xr:uid="{CB7C60C2-C0EB-D949-9E83-A6F7571B7FEF}"/>
  <sortState xmlns:xlrd2="http://schemas.microsoft.com/office/spreadsheetml/2017/richdata2" ref="A33:C61">
    <sortCondition ref="B32:B61"/>
  </sortState>
  <tableColumns count="3">
    <tableColumn id="1" xr3:uid="{8C9A5D28-05F1-A444-8F54-342A091ED522}" name="Rank" dataDxfId="334"/>
    <tableColumn id="2" xr3:uid="{F945B8D4-DBE2-3B47-BAE8-297590B1100C}" name="County" dataCellStyle="Hyperlink"/>
    <tableColumn id="3" xr3:uid="{C971AE37-A5D3-8644-B293-DBF6EB779AAB}" name="Population" dataDxfId="333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C20AECDF-64BF-0C4C-9833-C730DB2AAFC9}" name="Table94" displayName="Table94" ref="A1:F134" totalsRowShown="0" headerRowDxfId="332" dataDxfId="331">
  <autoFilter ref="A1:F134" xr:uid="{C20AECDF-64BF-0C4C-9833-C730DB2AAFC9}"/>
  <sortState xmlns:xlrd2="http://schemas.microsoft.com/office/spreadsheetml/2017/richdata2" ref="A2:F134">
    <sortCondition ref="A1:A134"/>
  </sortState>
  <tableColumns count="6">
    <tableColumn id="1" xr3:uid="{B429BE28-B828-2E45-9737-AA96E557ADA0}" name="Location" dataDxfId="330"/>
    <tableColumn id="2" xr3:uid="{278844BF-CA28-E147-BF82-BF49FB77BE73}" name="Investigation type" dataDxfId="329"/>
    <tableColumn id="3" xr3:uid="{F4196655-0D4A-8F4F-AC6A-4BBCFC3DA4B6}" name="Number" dataDxfId="328"/>
    <tableColumn id="4" xr3:uid="{3DCAA90B-4071-C142-A888-9921454575BD}" name="Data Type" dataDxfId="327"/>
    <tableColumn id="5" xr3:uid="{681EF8D3-C46C-E94B-A7C6-56C5AA9AA31E}" name="SFY 2020" dataDxfId="326"/>
    <tableColumn id="6" xr3:uid="{BB146353-4CDF-F541-919B-75B04D602D6D}" name="NbP" dataDxfId="325">
      <calculatedColumnFormula>Table94[[#This Row],[SFY 2020]]/C137</calculatedColumnFormula>
    </tableColumn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551D957-B2CD-F84D-9F91-7DB026F4FB7D}" name="Table95" displayName="Table95" ref="H1:O134" totalsRowShown="0" headerRowDxfId="324">
  <autoFilter ref="H1:O134" xr:uid="{2551D957-B2CD-F84D-9F91-7DB026F4FB7D}"/>
  <sortState xmlns:xlrd2="http://schemas.microsoft.com/office/spreadsheetml/2017/richdata2" ref="H2:O134">
    <sortCondition ref="H1:H134"/>
  </sortState>
  <tableColumns count="8">
    <tableColumn id="1" xr3:uid="{8CB6DC60-A341-EE42-8D15-BE4E0BEBE688}" name="COUNTY" dataDxfId="323"/>
    <tableColumn id="2" xr3:uid="{BAEB0FDC-EA2E-EF4F-AB35-6D7426074227}" name="BIDEN VOTES" dataDxfId="322"/>
    <tableColumn id="6" xr3:uid="{0E9A7C90-A543-544E-95CD-6D975AD8C3FA}" name="NbP" dataDxfId="321">
      <calculatedColumnFormula>Table95[[#This Row],[BIDEN VOTES]]/C137</calculatedColumnFormula>
    </tableColumn>
    <tableColumn id="3" xr3:uid="{92B09820-D25E-7043-95CD-88B4FDE850A0}" name="BIDEN PCT" dataDxfId="320"/>
    <tableColumn id="4" xr3:uid="{F1E53A85-BB96-234D-BAFA-C27325AA5F5A}" name="TRUMP VOTES" dataDxfId="319"/>
    <tableColumn id="7" xr3:uid="{F605DE49-0E93-CF47-96A7-E81FE9845F55}" name="NbP2" dataDxfId="318">
      <calculatedColumnFormula>Table95[[#This Row],[TRUMP VOTES]]/C137</calculatedColumnFormula>
    </tableColumn>
    <tableColumn id="5" xr3:uid="{AA7F4E60-883B-B346-8D08-D3326F014B92}" name="TRUMP PCT" dataDxfId="317"/>
    <tableColumn id="8" xr3:uid="{73FFD3D5-4E68-F949-BB74-DCD47B911386}" name="None" dataDxfId="316">
      <calculatedColumnFormula>1-(Table95[[#This Row],[NbP]]+Table95[[#This Row],[NbP2]])</calculatedColumnFormula>
    </tableColumn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B587455-721D-EB48-9380-DB14AAB96445}" name="Table96" displayName="Table96" ref="A136:C269" totalsRowShown="0" headerRowDxfId="315">
  <autoFilter ref="A136:C269" xr:uid="{6B587455-721D-EB48-9380-DB14AAB96445}"/>
  <sortState xmlns:xlrd2="http://schemas.microsoft.com/office/spreadsheetml/2017/richdata2" ref="A137:C269">
    <sortCondition ref="B136:B269"/>
  </sortState>
  <tableColumns count="3">
    <tableColumn id="1" xr3:uid="{7AC42EDB-B4C2-8040-A9A7-A3B5ACF60CEA}" name="Rank" dataDxfId="314"/>
    <tableColumn id="2" xr3:uid="{C1E31295-3725-1F46-AF03-2596FDDB3A62}" name="County" dataDxfId="313"/>
    <tableColumn id="3" xr3:uid="{BDCE0531-E69F-D14D-B507-2CC57D814000}" name="Population" dataDxfId="312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E9D1E054-E557-8744-A820-44068E646F01}" name="Table97" displayName="Table97" ref="A1:D73" totalsRowShown="0" headerRowDxfId="311" dataDxfId="310">
  <autoFilter ref="A1:D73" xr:uid="{E9D1E054-E557-8744-A820-44068E646F01}"/>
  <sortState xmlns:xlrd2="http://schemas.microsoft.com/office/spreadsheetml/2017/richdata2" ref="A2:D73">
    <sortCondition ref="A1:A73"/>
  </sortState>
  <tableColumns count="4">
    <tableColumn id="1" xr3:uid="{54159B10-0534-F841-B7F9-6A149FF29E86}" name="Location" dataDxfId="309"/>
    <tableColumn id="2" xr3:uid="{7BA6E77B-1C88-5A41-8491-7BAAEF17320A}" name="Data Type" dataDxfId="308"/>
    <tableColumn id="3" xr3:uid="{B2108979-1FEF-CA4A-B8F1-29B7D7F0FA8C}" name="2020" dataDxfId="307"/>
    <tableColumn id="4" xr3:uid="{DF1D6B64-C4DE-9A49-A972-D19E543A4373}" name="NbP" dataDxfId="306">
      <calculatedColumnFormula>Table97[[#This Row],[2020]]/C76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A5F4DAE-CC23-2C4A-B019-37AF4AD781B0}" name="Table50" displayName="Table50" ref="A27:C51" totalsRowShown="0" headerRowDxfId="634">
  <autoFilter ref="A27:C51" xr:uid="{6A5F4DAE-CC23-2C4A-B019-37AF4AD781B0}"/>
  <sortState xmlns:xlrd2="http://schemas.microsoft.com/office/spreadsheetml/2017/richdata2" ref="A28:C51">
    <sortCondition ref="B27:B51"/>
  </sortState>
  <tableColumns count="3">
    <tableColumn id="1" xr3:uid="{BFF281DF-3E19-9941-AFB4-CF0D9BCC427D}" name="Rank" dataDxfId="633"/>
    <tableColumn id="2" xr3:uid="{AEB10BAB-FC0F-9748-A22A-ED130FBE9359}" name="County" dataCellStyle="Hyperlink"/>
    <tableColumn id="3" xr3:uid="{169A08AC-1A92-B04C-BA72-21DFD980B80F}" name="Population" dataDxfId="632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9EEF1C6-7D2A-4C4E-A788-E3D65BE1731B}" name="Table98" displayName="Table98" ref="F1:M73" totalsRowShown="0" headerRowDxfId="305">
  <autoFilter ref="F1:M73" xr:uid="{19EEF1C6-7D2A-4C4E-A788-E3D65BE1731B}"/>
  <sortState xmlns:xlrd2="http://schemas.microsoft.com/office/spreadsheetml/2017/richdata2" ref="F2:M73">
    <sortCondition ref="F1:F73"/>
  </sortState>
  <tableColumns count="8">
    <tableColumn id="1" xr3:uid="{ABE5D9E9-1E16-D34D-8E2B-FB65F10B6456}" name="COUNTY" dataDxfId="304"/>
    <tableColumn id="2" xr3:uid="{F43595DA-026E-1142-AEAB-BB1EB5AD32B1}" name="BIDEN VOTES" dataDxfId="303"/>
    <tableColumn id="6" xr3:uid="{C2E3F6D5-25B6-674D-8151-7B7BA82640E6}" name="NbP" dataDxfId="302">
      <calculatedColumnFormula>Table98[[#This Row],[BIDEN VOTES]]/C76</calculatedColumnFormula>
    </tableColumn>
    <tableColumn id="3" xr3:uid="{7EDA7FF0-5DE8-EE43-9C7C-19183536CE89}" name="BIDEN PCT" dataDxfId="301"/>
    <tableColumn id="4" xr3:uid="{58AC65BB-7D30-7C47-9E2E-80BC7A21634D}" name="TRUMP VOTES" dataDxfId="300"/>
    <tableColumn id="7" xr3:uid="{7481094C-899E-5D46-ACB1-80C78DD9820C}" name="NbP2" dataDxfId="299">
      <calculatedColumnFormula>Table98[[#This Row],[TRUMP VOTES]]/C76</calculatedColumnFormula>
    </tableColumn>
    <tableColumn id="5" xr3:uid="{37DC1906-D714-2542-9E4F-CAC340BE7EDB}" name="TRUMP PCT" dataDxfId="298"/>
    <tableColumn id="8" xr3:uid="{4045FA40-CC6E-6F49-ABD3-2E0709806A47}" name="None" dataDxfId="297">
      <calculatedColumnFormula>1-(Table98[[#This Row],[NbP]]+Table98[[#This Row],[NbP2]])</calculatedColumnFormula>
    </tableColumn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A5C8412-BA65-9740-85EC-17C71174D28F}" name="Table99" displayName="Table99" ref="A75:C147" totalsRowShown="0" headerRowDxfId="296">
  <autoFilter ref="A75:C147" xr:uid="{0A5C8412-BA65-9740-85EC-17C71174D28F}"/>
  <sortState xmlns:xlrd2="http://schemas.microsoft.com/office/spreadsheetml/2017/richdata2" ref="A76:C147">
    <sortCondition ref="B75:B147"/>
  </sortState>
  <tableColumns count="3">
    <tableColumn id="1" xr3:uid="{25CC67C5-E28A-7648-B0DE-74E3D4B571C9}" name="Rank" dataDxfId="295"/>
    <tableColumn id="2" xr3:uid="{66E25DB2-DEBD-F846-B7E1-E9FBFE399749}" name="County" dataCellStyle="Hyperlink"/>
    <tableColumn id="3" xr3:uid="{EB610C73-6E9E-9E4B-B514-17B0976BB11D}" name="Population" dataDxfId="294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D1B846D-B0C6-7C46-B8F5-83A43B6DAE00}" name="Table28" displayName="Table28" ref="A70:C137" totalsRowShown="0" headerRowDxfId="279">
  <autoFilter ref="A70:C137" xr:uid="{CD1B846D-B0C6-7C46-B8F5-83A43B6DAE00}"/>
  <sortState xmlns:xlrd2="http://schemas.microsoft.com/office/spreadsheetml/2017/richdata2" ref="A71:C137">
    <sortCondition ref="B70:B137"/>
  </sortState>
  <tableColumns count="3">
    <tableColumn id="1" xr3:uid="{AA041B0F-DA85-5041-A5B6-9497707D1B8C}" name="Rank" dataDxfId="278"/>
    <tableColumn id="2" xr3:uid="{96F31224-860F-E34F-8A34-81A98D473009}" name="County" dataCellStyle="Hyperlink"/>
    <tableColumn id="3" xr3:uid="{9BB5F463-18C9-084D-92CB-5B82A959F0B6}" name="Population" dataDxfId="277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5C1224E-5E8D-EF4F-B71D-EC18ACB3932F}" name="Table29" displayName="Table29" ref="E70:H137" totalsRowShown="0" headerRowDxfId="276" dataDxfId="275">
  <autoFilter ref="E70:H137" xr:uid="{D5C1224E-5E8D-EF4F-B71D-EC18ACB3932F}"/>
  <tableColumns count="4">
    <tableColumn id="1" xr3:uid="{FFA20FBD-B3A6-6E42-9882-76F1638BD4AD}" name="County" dataDxfId="274"/>
    <tableColumn id="2" xr3:uid="{E1CCE62F-7156-8D4C-A447-42F9DAD4C186}" name="Data Type" dataDxfId="273"/>
    <tableColumn id="3" xr3:uid="{199D9652-DC12-C045-8F8A-5B25D5A44EC5}" name="Abuse Cases" dataDxfId="272"/>
    <tableColumn id="4" xr3:uid="{E523F912-6E55-0A46-A850-72330B1B2169}" name="Normalized by Population" dataDxfId="271">
      <calculatedColumnFormula>G71/Table28[[#This Row],[Population]]</calculatedColumnFormula>
    </tableColumn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E807EF7-AD8C-7B4F-BF7A-C61F5792E3E6}" name="Table2931" displayName="Table2931" ref="A1:D68" totalsRowShown="0" headerRowDxfId="270" dataDxfId="269">
  <autoFilter ref="A1:D68" xr:uid="{8E807EF7-AD8C-7B4F-BF7A-C61F5792E3E6}"/>
  <tableColumns count="4">
    <tableColumn id="1" xr3:uid="{150AB201-F475-AB4B-BF68-D62B500F016B}" name="County" dataDxfId="268"/>
    <tableColumn id="2" xr3:uid="{59A09ACE-7695-2147-8C04-4F469329F1BB}" name="Data Type" dataDxfId="267"/>
    <tableColumn id="3" xr3:uid="{C64F92A1-EDDF-B04E-A4E1-284EBB0CB896}" name="Abuse Cases" dataDxfId="266"/>
    <tableColumn id="4" xr3:uid="{4E1C3970-F53E-6448-86FF-1C9695982CA6}" name="NbP" dataDxfId="265">
      <calculatedColumnFormula>Table2931[[#This Row],[Abuse Cases]]/C71</calculatedColumnFormula>
    </tableColumn>
  </tableColumns>
  <tableStyleInfo name="TableStyleLight1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3311C77-BFE9-064E-A4AD-DF6BC0486F61}" name="Table31" displayName="Table31" ref="G1:N68" totalsRowShown="0" headerRowDxfId="264">
  <autoFilter ref="G1:N68" xr:uid="{83311C77-BFE9-064E-A4AD-DF6BC0486F61}"/>
  <tableColumns count="8">
    <tableColumn id="1" xr3:uid="{4D49E4E2-AB5B-6349-B976-912CD83D082E}" name="COUNTY" dataDxfId="263"/>
    <tableColumn id="2" xr3:uid="{A5F26DB7-31EC-F549-A353-9EB6E973B81A}" name="TRUMP VOTES" dataDxfId="262"/>
    <tableColumn id="9" xr3:uid="{45D206EF-7373-B546-90F8-A9D25946D672}" name="NbP" dataDxfId="261">
      <calculatedColumnFormula>Table31[[#This Row],[TRUMP VOTES]]/C71</calculatedColumnFormula>
    </tableColumn>
    <tableColumn id="4" xr3:uid="{3B3657E9-DEDF-FA4B-92FE-1C30C46D1520}" name="TRUMP PCT" dataDxfId="260"/>
    <tableColumn id="5" xr3:uid="{79876363-5ADA-2345-B23D-62F4E936A2FB}" name="BIDEN VOTES" dataDxfId="259"/>
    <tableColumn id="10" xr3:uid="{93BA5D09-DA2C-5F4A-A346-195E12E970AB}" name="Column1" dataDxfId="258">
      <calculatedColumnFormula>Table31[[#This Row],[BIDEN VOTES]]/C71</calculatedColumnFormula>
    </tableColumn>
    <tableColumn id="7" xr3:uid="{C0749E1F-D2DF-0D45-9910-A21DEBE0DAAB}" name="BIDEN PCT" dataDxfId="257"/>
    <tableColumn id="11" xr3:uid="{ECF3B16D-B0EC-F44B-83DB-BBA76F3F073C}" name="Nonvoting" dataDxfId="256">
      <calculatedColumnFormula>1-(Table31[[#This Row],[NbP]]+Table31[[#This Row],[Column1]])</calculatedColumnFormula>
    </tableColumn>
  </tableColumns>
  <tableStyleInfo name="TableStyleLight1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247FBE5-D49B-1C48-8B36-E9254DD6D363}" name="Table7" displayName="Table7" ref="A18:D33" totalsRowShown="0">
  <autoFilter ref="A18:D33" xr:uid="{8247FBE5-D49B-1C48-8B36-E9254DD6D363}"/>
  <sortState xmlns:xlrd2="http://schemas.microsoft.com/office/spreadsheetml/2017/richdata2" ref="A19:D33">
    <sortCondition ref="B18:B33"/>
  </sortState>
  <tableColumns count="4">
    <tableColumn id="1" xr3:uid="{A1D5D28C-DE38-5A4D-B111-6A3BB3523FCC}" name="Column1" dataDxfId="255"/>
    <tableColumn id="2" xr3:uid="{2FF871E2-C1C3-7343-ABFA-4124EAAFC01C}" name="Column2" dataCellStyle="Hyperlink"/>
    <tableColumn id="3" xr3:uid="{F904511D-A033-3F46-8C8F-18FEEA374A0C}" name="Column3" dataDxfId="254"/>
    <tableColumn id="4" xr3:uid="{63E870DF-08B2-C346-AD96-EEC1505C1232}" name="Column4"/>
  </tableColumns>
  <tableStyleInfo name="TableStyleLight1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65C1797-10C3-054D-98FC-275DD2BFCEC1}" name="Table32" displayName="Table32" ref="H1:O16" totalsRowShown="0" headerRowDxfId="253">
  <autoFilter ref="H1:O16" xr:uid="{365C1797-10C3-054D-98FC-275DD2BFCEC1}"/>
  <tableColumns count="8">
    <tableColumn id="1" xr3:uid="{F4FDAB2A-0C1D-304D-985A-DB9F8AB83818}" name="COUNTY" dataDxfId="252"/>
    <tableColumn id="2" xr3:uid="{AFC78471-79A3-9045-8F20-12C722FAA640}" name="BIDEN VOTES" dataDxfId="251"/>
    <tableColumn id="9" xr3:uid="{00144311-722F-6B45-8937-05B8EE792DC5}" name="Column4" dataDxfId="250">
      <calculatedColumnFormula>Table32[[#This Row],[BIDEN VOTES]]/C19</calculatedColumnFormula>
    </tableColumn>
    <tableColumn id="4" xr3:uid="{84B6B54D-3FDA-CB44-B7D6-8CF8D9A7A7E0}" name="BIDEN PCT" dataDxfId="249"/>
    <tableColumn id="5" xr3:uid="{905F4C09-A992-EA45-973E-4E7B3E3586CC}" name="TRUMP VOTES" dataDxfId="248"/>
    <tableColumn id="10" xr3:uid="{15910AC6-8FDB-4241-8EC9-4A38439043B6}" name="Column1" dataDxfId="247">
      <calculatedColumnFormula>Table32[[#This Row],[TRUMP VOTES]]/C19</calculatedColumnFormula>
    </tableColumn>
    <tableColumn id="7" xr3:uid="{8341AA45-1462-944E-848E-86791F0E8113}" name="TRUMP PCT" dataDxfId="246"/>
    <tableColumn id="11" xr3:uid="{15A9C709-3947-B64B-89DF-9117226AEDF7}" name="N" dataDxfId="245">
      <calculatedColumnFormula>1-(Table32[[#This Row],[Column4]]+Table32[[#This Row],[Column1]])</calculatedColumnFormula>
    </tableColumn>
  </tableColumns>
  <tableStyleInfo name="TableStyleLight1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43C5C5D-CE1D-D347-92E9-20799FED9837}" name="Table5" displayName="Table5" ref="H1:O59" totalsRowShown="0" headerRowDxfId="244" dataDxfId="243">
  <autoFilter ref="H1:O59" xr:uid="{043C5C5D-CE1D-D347-92E9-20799FED9837}"/>
  <tableColumns count="8">
    <tableColumn id="1" xr3:uid="{E26AB4AA-D741-AF43-AF3A-419AB5EE5870}" name="COUNTY" dataDxfId="242"/>
    <tableColumn id="2" xr3:uid="{0EA15092-C19F-E844-A1F5-1221E687EE5E}" name="BIDEN VOTES" dataDxfId="241"/>
    <tableColumn id="3" xr3:uid="{072DD6D5-2A5E-574E-9A55-CEEB1BB74D68}" name="B Normal" dataDxfId="240">
      <calculatedColumnFormula>Table5[[#This Row],[BIDEN VOTES]]/C62</calculatedColumnFormula>
    </tableColumn>
    <tableColumn id="4" xr3:uid="{B7F5F06F-4E64-534B-96D1-0CD854125B9A}" name="BIDEN PCT" dataDxfId="239"/>
    <tableColumn id="5" xr3:uid="{6C50EE0B-379B-1C4C-A9BD-9B7F7674BDD4}" name="TRUMP VOTES" dataDxfId="238"/>
    <tableColumn id="7" xr3:uid="{7D0C225E-FB72-7243-A6DA-996C5C3E1304}" name="T Normal" dataDxfId="237">
      <calculatedColumnFormula>Table5[[#This Row],[TRUMP VOTES]]/C62</calculatedColumnFormula>
    </tableColumn>
    <tableColumn id="6" xr3:uid="{CE7F03FA-8B20-9540-A151-A64F932B4664}" name="TRUMP PCT" dataDxfId="236"/>
    <tableColumn id="8" xr3:uid="{71410DE5-336E-664E-AF9E-836F8DCE1D34}" name="None" dataDxfId="235">
      <calculatedColumnFormula>1-(Table5[[#This Row],[B Normal]]+Table5[[#This Row],[T Normal]])</calculatedColumnFormula>
    </tableColumn>
  </tableColumns>
  <tableStyleInfo name="TableStyleLight1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BDD9DCE-07C3-FA41-89A8-9F4CC82C3A44}" name="Table8" displayName="Table8" ref="A1:F59" totalsRowShown="0" headerRowDxfId="234" dataDxfId="232" headerRowBorderDxfId="233" tableBorderDxfId="231">
  <autoFilter ref="A1:F59" xr:uid="{CBDD9DCE-07C3-FA41-89A8-9F4CC82C3A44}"/>
  <tableColumns count="6">
    <tableColumn id="1" xr3:uid="{5CED5241-763C-AD4A-A1E2-2EAF4268F1A6}" name="LocationType" dataDxfId="230"/>
    <tableColumn id="2" xr3:uid="{39F314DC-6389-244F-8E5E-6CC5F78A74F4}" name="Location" dataDxfId="229"/>
    <tableColumn id="3" xr3:uid="{26BE2AE0-15A4-1846-8961-07CADFB08004}" name="TimeFrame" dataDxfId="228"/>
    <tableColumn id="4" xr3:uid="{C1B0F291-3C4A-7E4F-9928-6C88B51FEBB4}" name="DataFormat" dataDxfId="227"/>
    <tableColumn id="5" xr3:uid="{819A9ED9-CE34-1343-85EA-91F867C872B6}" name="Data" dataDxfId="226"/>
    <tableColumn id="6" xr3:uid="{49B8C243-A14B-6842-821B-2EF8CDE1011D}" name="Column1" dataDxfId="225">
      <calculatedColumnFormula>(E2-MIN(E:E))/(MAX(E:E)-MIN(E:E))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D1E89F7-5B40-D64B-9B80-2BAB294ADE1E}" name="Table51" displayName="Table51" ref="G1:N25" totalsRowShown="0" headerRowDxfId="631">
  <autoFilter ref="G1:N25" xr:uid="{DD1E89F7-5B40-D64B-9B80-2BAB294ADE1E}"/>
  <sortState xmlns:xlrd2="http://schemas.microsoft.com/office/spreadsheetml/2017/richdata2" ref="G2:M25">
    <sortCondition ref="G1:G25"/>
  </sortState>
  <tableColumns count="8">
    <tableColumn id="1" xr3:uid="{715629B3-0E0F-B243-B07C-79C6338AA350}" name="COUNTY" dataDxfId="630"/>
    <tableColumn id="2" xr3:uid="{E2B756EA-B90F-AE43-99D8-477E8EA80624}" name="BIDEN VOTES" dataDxfId="629"/>
    <tableColumn id="6" xr3:uid="{90B29B61-6581-7244-966A-59F1C1C5C87D}" name="NbP" dataDxfId="628">
      <calculatedColumnFormula>Table51[[#This Row],[BIDEN VOTES]]/C28</calculatedColumnFormula>
    </tableColumn>
    <tableColumn id="3" xr3:uid="{BBC09093-869B-E742-830F-3A0755D68D45}" name="BIDEN PCT" dataDxfId="627"/>
    <tableColumn id="4" xr3:uid="{5E00F8B8-5AAD-A941-BDE8-08C3527DDE49}" name="TRUMP VOTES" dataDxfId="626"/>
    <tableColumn id="7" xr3:uid="{2C33B1EB-0A6B-B842-98FD-7D6B2070C5B0}" name="NbP2" dataDxfId="625">
      <calculatedColumnFormula>Table51[[#This Row],[TRUMP VOTES]]/C28</calculatedColumnFormula>
    </tableColumn>
    <tableColumn id="5" xr3:uid="{4C369A0E-A8EF-DE49-8549-5B3BE21602A7}" name="TRUMP PCT" dataDxfId="624"/>
    <tableColumn id="8" xr3:uid="{1DEEDC19-FB49-2A4B-A102-9B0AAA4249D0}" name="None" dataDxfId="623">
      <calculatedColumnFormula>1-(Table51[[#This Row],[NbP]]+Table51[[#This Row],[NbP2]])</calculatedColumnFormula>
    </tableColumn>
  </tableColumns>
  <tableStyleInfo name="TableStyleLight1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0F4848D-14EE-1C47-8291-87339B309B0C}" name="Table33" displayName="Table33" ref="A61:C119" totalsRowShown="0" headerRowDxfId="224">
  <autoFilter ref="A61:C119" xr:uid="{D0F4848D-14EE-1C47-8291-87339B309B0C}"/>
  <sortState xmlns:xlrd2="http://schemas.microsoft.com/office/spreadsheetml/2017/richdata2" ref="A62:C119">
    <sortCondition ref="B61:B119"/>
  </sortState>
  <tableColumns count="3">
    <tableColumn id="1" xr3:uid="{9BD76183-42A6-CA45-A446-231B0FA33D0B}" name="Rank" dataDxfId="223"/>
    <tableColumn id="2" xr3:uid="{409813F6-66CF-F942-9BCD-E1D1260501EC}" name="County" dataCellStyle="Hyperlink"/>
    <tableColumn id="3" xr3:uid="{D29D6497-AF6F-1D42-AA46-EE0C0D9BDDBE}" name="Population" dataDxfId="222"/>
  </tableColumns>
  <tableStyleInfo name="TableStyleLight1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CCD5199-B48A-C54E-94EB-1F600B243755}" name="Table9" displayName="Table9" ref="A1:F65" totalsRowShown="0" headerRowDxfId="221" dataDxfId="220">
  <autoFilter ref="A1:F65" xr:uid="{6CCD5199-B48A-C54E-94EB-1F600B243755}"/>
  <tableColumns count="6">
    <tableColumn id="1" xr3:uid="{660F8295-6C90-554A-AC7F-2A166C8E5802}" name="LocationType" dataDxfId="219"/>
    <tableColumn id="2" xr3:uid="{A1F9DE5C-EED3-7E48-BB8A-D673F36BFDF5}" name="Location" dataDxfId="218"/>
    <tableColumn id="3" xr3:uid="{910E89CD-581C-1344-9D09-BCFDEB80F642}" name="TimeFrame" dataDxfId="217"/>
    <tableColumn id="4" xr3:uid="{CB5EBA53-9C2D-B949-93E3-F1793ED69492}" name="DataFormat" dataDxfId="216"/>
    <tableColumn id="5" xr3:uid="{B6EBFB09-9048-E144-A00F-9DF0D9502862}" name="Data" dataDxfId="215"/>
    <tableColumn id="6" xr3:uid="{1BC1C46C-CA39-854E-81D4-E398421E3249}" name="MM" dataDxfId="214">
      <calculatedColumnFormula>(E2-MIN(E:E))/(MAX(E:E)-MIN(E:E))</calculatedColumnFormula>
    </tableColumn>
  </tableColumns>
  <tableStyleInfo name="TableStyleLight1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C80C649-E6ED-314C-8FE6-41496417A1E8}" name="Table11" displayName="Table11" ref="H1:O65" totalsRowShown="0" headerRowDxfId="213">
  <autoFilter ref="H1:O65" xr:uid="{DC80C649-E6ED-314C-8FE6-41496417A1E8}"/>
  <sortState xmlns:xlrd2="http://schemas.microsoft.com/office/spreadsheetml/2017/richdata2" ref="H2:O65">
    <sortCondition ref="H1:H65"/>
  </sortState>
  <tableColumns count="8">
    <tableColumn id="1" xr3:uid="{7E102F2D-3934-7A48-BF62-29BC0C4ABCEE}" name="COUNTY" dataDxfId="212"/>
    <tableColumn id="2" xr3:uid="{2A348B15-AAF0-0645-A5DA-BE7637FB9F7A}" name="BIDEN VOTES" dataDxfId="211"/>
    <tableColumn id="3" xr3:uid="{85BEA0B7-9906-8141-AF84-4217E0B4973A}" name="NbP" dataDxfId="210">
      <calculatedColumnFormula>Table11[[#This Row],[BIDEN VOTES]]/C68</calculatedColumnFormula>
    </tableColumn>
    <tableColumn id="4" xr3:uid="{02749BF7-1A3F-7246-9474-646A5DC41F78}" name="BIDEN PCT" dataDxfId="209"/>
    <tableColumn id="5" xr3:uid="{7A15B06E-78D2-C941-A44D-90662484FB3E}" name="TRUMP VOTES" dataDxfId="208"/>
    <tableColumn id="6" xr3:uid="{580E15F3-C656-D342-AA14-8987B174EEFB}" name="NbP2" dataDxfId="207">
      <calculatedColumnFormula>Table11[[#This Row],[TRUMP VOTES]]/C68</calculatedColumnFormula>
    </tableColumn>
    <tableColumn id="7" xr3:uid="{46A3C21C-708D-7D4C-BE1E-2660B9DF8FB6}" name="TRUMP PCT" dataDxfId="206"/>
    <tableColumn id="8" xr3:uid="{DF6EFE6A-DF9F-B642-8FEA-7A49B2F2A922}" name="None" dataDxfId="205">
      <calculatedColumnFormula>1-(Table11[[#This Row],[NbP]]+Table11[[#This Row],[NbP2]])</calculatedColumnFormula>
    </tableColumn>
  </tableColumns>
  <tableStyleInfo name="TableStyleLight1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BC8F34D-C9D0-0645-9B8A-BA199362A443}" name="Table34" displayName="Table34" ref="A67:C131" totalsRowShown="0" headerRowDxfId="204">
  <autoFilter ref="A67:C131" xr:uid="{7BC8F34D-C9D0-0645-9B8A-BA199362A443}"/>
  <sortState xmlns:xlrd2="http://schemas.microsoft.com/office/spreadsheetml/2017/richdata2" ref="A68:C131">
    <sortCondition ref="B67:B131"/>
  </sortState>
  <tableColumns count="3">
    <tableColumn id="1" xr3:uid="{3CBCD6FB-9492-524E-B557-887AADFC9232}" name="Rank" dataDxfId="203"/>
    <tableColumn id="2" xr3:uid="{93718EA1-C4A3-AA4B-BFEC-C2CDBE4C4B12}" name="County" dataCellStyle="Hyperlink"/>
    <tableColumn id="3" xr3:uid="{25072424-C300-EF49-8F08-6206E989960B}" name="Population" dataDxfId="202"/>
  </tableColumns>
  <tableStyleInfo name="TableStyleLight1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CDD506B-4B32-904C-A8A1-193D9EB417BF}" name="Table12" displayName="Table12" ref="A1:F9" totalsRowShown="0" headerRowDxfId="201" dataDxfId="200">
  <autoFilter ref="A1:F9" xr:uid="{DCDD506B-4B32-904C-A8A1-193D9EB417BF}"/>
  <sortState xmlns:xlrd2="http://schemas.microsoft.com/office/spreadsheetml/2017/richdata2" ref="A3:F9">
    <sortCondition ref="B1:B9"/>
  </sortState>
  <tableColumns count="6">
    <tableColumn id="1" xr3:uid="{A253190C-7A66-5148-B286-B4846BA29CF1}" name="LocationType" dataDxfId="199"/>
    <tableColumn id="2" xr3:uid="{A58BCD7F-8126-0448-B4DB-4B9A31850359}" name="Location" dataDxfId="198"/>
    <tableColumn id="3" xr3:uid="{20EA0181-ED51-2644-BDD2-C1C7D7B57DD0}" name="TimeFrame" dataDxfId="197"/>
    <tableColumn id="4" xr3:uid="{765A5948-6C3C-CC44-A8F6-209CD33626A1}" name="DataFormat" dataDxfId="196"/>
    <tableColumn id="5" xr3:uid="{837F7C35-CC13-CE47-974E-04F4CE15B6E6}" name="Data" dataDxfId="195"/>
    <tableColumn id="6" xr3:uid="{B82888CE-CA24-F347-A275-71EF7468BF8B}" name="MM" dataDxfId="194">
      <calculatedColumnFormula>(E2-MIN(E:E))/(MAX(E:E)-MIN(E:E))</calculatedColumnFormula>
    </tableColumn>
  </tableColumns>
  <tableStyleInfo name="TableStyleLight1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B4427FE-5EF0-0B40-BE81-05A6624E9D1E}" name="Table14" displayName="Table14" ref="H1:O9" totalsRowShown="0" headerRowDxfId="193" dataDxfId="192">
  <autoFilter ref="H1:O9" xr:uid="{FB4427FE-5EF0-0B40-BE81-05A6624E9D1E}"/>
  <tableColumns count="8">
    <tableColumn id="1" xr3:uid="{1DEE4A3F-0367-584D-A9B0-7B66A6DBECC4}" name="COUNTY" dataDxfId="191"/>
    <tableColumn id="2" xr3:uid="{645859F9-463E-D342-AC20-101D19D663D8}" name="BIDEN VOTES" dataDxfId="190"/>
    <tableColumn id="3" xr3:uid="{151C4C68-72EB-6F44-BBC8-0DA8C96FE26B}" name="NbP" dataDxfId="189">
      <calculatedColumnFormula>Table14[[#This Row],[BIDEN VOTES]]/C12</calculatedColumnFormula>
    </tableColumn>
    <tableColumn id="4" xr3:uid="{569C795D-5369-1848-ADC7-BEB2A124DF0F}" name="BIDEN PCT" dataDxfId="188"/>
    <tableColumn id="5" xr3:uid="{B49452E5-9C38-F444-9E0D-1D03A3D05561}" name="TRUMP VOTES" dataDxfId="187"/>
    <tableColumn id="6" xr3:uid="{89EAAC11-0477-1740-AE25-E7F9EEAA5FF8}" name="NbP2" dataDxfId="186">
      <calculatedColumnFormula>Table14[[#This Row],[TRUMP VOTES]]/C12</calculatedColumnFormula>
    </tableColumn>
    <tableColumn id="7" xr3:uid="{DF66D5C8-FC33-894F-99DF-89658927F47C}" name="TRUMP PCT" dataDxfId="185"/>
    <tableColumn id="8" xr3:uid="{F0555C17-C8D3-4C48-A263-0698BD059B44}" name="None" dataDxfId="184">
      <calculatedColumnFormula>1-(Table14[[#This Row],[NbP]]+Table14[[#This Row],[NbP2]])</calculatedColumnFormula>
    </tableColumn>
  </tableColumns>
  <tableStyleInfo name="TableStyleLight1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8BFEC14-BDD0-394C-B332-9E4C73EB0722}" name="Table35" displayName="Table35" ref="A11:C19" totalsRowShown="0" headerRowDxfId="183">
  <autoFilter ref="A11:C19" xr:uid="{38BFEC14-BDD0-394C-B332-9E4C73EB0722}"/>
  <tableColumns count="3">
    <tableColumn id="1" xr3:uid="{958BECA4-96FC-E744-8A2B-50F999501AF9}" name="Rank" dataDxfId="182"/>
    <tableColumn id="2" xr3:uid="{789741D4-EB0D-044B-9049-9F10DA63BE7C}" name="County" dataCellStyle="Hyperlink"/>
    <tableColumn id="3" xr3:uid="{271A1E23-3F2F-CF42-B12A-EBACC7C07449}" name="Population" dataDxfId="181"/>
  </tableColumns>
  <tableStyleInfo name="TableStyleLight1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F9E3506-7FD2-8344-A381-E08941A3762C}" name="Table15" displayName="Table15" ref="A1:F160" totalsRowShown="0" headerRowDxfId="180" dataDxfId="179">
  <autoFilter ref="A1:F160" xr:uid="{8F9E3506-7FD2-8344-A381-E08941A3762C}"/>
  <tableColumns count="6">
    <tableColumn id="1" xr3:uid="{170864CF-8DC8-EE4D-B82B-E0470077F948}" name="LocationType" dataDxfId="178"/>
    <tableColumn id="2" xr3:uid="{32DD4EE1-97CD-3C4B-B466-D11910CC0712}" name="Location" dataDxfId="177"/>
    <tableColumn id="3" xr3:uid="{9549F300-1057-1341-9C3F-232322BC55D3}" name="TimeFrame" dataDxfId="176"/>
    <tableColumn id="4" xr3:uid="{30F2C86A-5A3E-564B-871B-D83212C8CC5F}" name="DataFormat" dataDxfId="175"/>
    <tableColumn id="5" xr3:uid="{83E1C597-43E7-474D-8426-A4136B7D6156}" name="Data" dataDxfId="174"/>
    <tableColumn id="6" xr3:uid="{4EEF25A7-4F6E-4C49-9E93-3352B108662F}" name="Column1" dataDxfId="173">
      <calculatedColumnFormula>(E2-MIN(E:E))/(MAX(E:E)-MIN(E:E))</calculatedColumnFormula>
    </tableColumn>
  </tableColumns>
  <tableStyleInfo name="TableStyleLight1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4ABB052-028B-9044-8F00-C18E631E5863}" name="Table17" displayName="Table17" ref="H1:O160" totalsRowShown="0" headerRowDxfId="172">
  <autoFilter ref="H1:O160" xr:uid="{B4ABB052-028B-9044-8F00-C18E631E5863}"/>
  <tableColumns count="8">
    <tableColumn id="1" xr3:uid="{D1C079B6-9B86-004F-85A0-35541490EB95}" name="COUNTY" dataDxfId="171"/>
    <tableColumn id="2" xr3:uid="{FD319635-BFAF-CB41-88E9-EE68075E12C4}" name="BIDEN VOTES" dataDxfId="170"/>
    <tableColumn id="9" xr3:uid="{C4939829-754D-7D42-B5EA-6A9B39CEB402}" name="NbP" dataDxfId="169">
      <calculatedColumnFormula>Table17[[#This Row],[BIDEN VOTES]]/C163</calculatedColumnFormula>
    </tableColumn>
    <tableColumn id="4" xr3:uid="{B0B5B772-6139-1641-93E1-264B59B00D9D}" name="BIDEN PCT" dataDxfId="168"/>
    <tableColumn id="5" xr3:uid="{5A86C209-0313-1440-9763-60D2E1CF2967}" name="TRUMP VOTES" dataDxfId="167"/>
    <tableColumn id="10" xr3:uid="{13994834-C76B-BF48-961B-80ACE3033B8A}" name="NbP2" dataDxfId="166">
      <calculatedColumnFormula>Table17[[#This Row],[TRUMP VOTES]]/C163</calculatedColumnFormula>
    </tableColumn>
    <tableColumn id="7" xr3:uid="{7C5B4CE7-24B7-1D49-854E-AC9B9DD41B71}" name="TRUMP PCT" dataDxfId="165"/>
    <tableColumn id="8" xr3:uid="{7CCCED8A-A745-1E49-8B90-FA70EC227BFA}" name="None" dataDxfId="164">
      <calculatedColumnFormula>1-(Table17[[#This Row],[NbP]]+Table17[[#This Row],[NbP2]])</calculatedColumnFormula>
    </tableColumn>
  </tableColumns>
  <tableStyleInfo name="TableStyleLight1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05B5687-A2E0-C242-91BF-97CF9615946C}" name="Table36" displayName="Table36" ref="A162:C321" totalsRowShown="0" headerRowDxfId="163">
  <autoFilter ref="A162:C321" xr:uid="{905B5687-A2E0-C242-91BF-97CF9615946C}"/>
  <sortState xmlns:xlrd2="http://schemas.microsoft.com/office/spreadsheetml/2017/richdata2" ref="A163:C321">
    <sortCondition ref="B162:B321"/>
  </sortState>
  <tableColumns count="3">
    <tableColumn id="1" xr3:uid="{94A44E73-AA13-F24F-879F-54F89665F6D1}" name="Rank" dataDxfId="162"/>
    <tableColumn id="2" xr3:uid="{FA8B19B1-7A1B-CB42-AC0A-D5FB99B3399A}" name="County" dataDxfId="161"/>
    <tableColumn id="3" xr3:uid="{242D8338-BD99-314C-942D-15C8B916A3E1}" name="Population" dataDxfId="16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DE7ABDC-BEE9-5940-9E07-D88A0DE8717B}" name="Table52" displayName="Table52" ref="A1:D84" totalsRowShown="0" headerRowDxfId="622" dataDxfId="621">
  <autoFilter ref="A1:D84" xr:uid="{FDE7ABDC-BEE9-5940-9E07-D88A0DE8717B}"/>
  <tableColumns count="4">
    <tableColumn id="1" xr3:uid="{54D76D49-21EB-9F4E-87DA-496950C2D850}" name="Location" dataDxfId="620"/>
    <tableColumn id="2" xr3:uid="{BC3977E4-97CB-D04F-9659-C3D5601ED2BF}" name="Data Type" dataDxfId="619"/>
    <tableColumn id="3" xr3:uid="{5CF7583E-230B-7D45-A769-39B4DDEBF8C8}" name="2021" dataDxfId="618"/>
    <tableColumn id="4" xr3:uid="{6D586541-F44A-CE49-B1C6-1B4FC6CBF742}" name="NbP" dataDxfId="617">
      <calculatedColumnFormula>Table52[[#This Row],[2021]]/C87</calculatedColumnFormula>
    </tableColumn>
  </tableColumns>
  <tableStyleInfo name="TableStyleLight1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9B95A55-FECB-9A4C-A356-45CE86BB8D0F}" name="Table19" displayName="Table19" ref="A1:F93" totalsRowShown="0" headerRowDxfId="159" dataDxfId="158">
  <autoFilter ref="A1:F93" xr:uid="{B9B95A55-FECB-9A4C-A356-45CE86BB8D0F}"/>
  <tableColumns count="6">
    <tableColumn id="1" xr3:uid="{FF1C030F-B097-3A4A-AE65-0332BD42B256}" name="LocationType" dataDxfId="157"/>
    <tableColumn id="2" xr3:uid="{0B5028FC-197E-EA41-A332-8AA71CEECA2D}" name="Location" dataDxfId="156"/>
    <tableColumn id="3" xr3:uid="{8241DEA5-41B6-654B-A06E-9ADC1EDBA591}" name="TimeFrame" dataDxfId="155"/>
    <tableColumn id="4" xr3:uid="{CA022F9B-FD83-744E-8076-352E8D3634C2}" name="DataFormat" dataDxfId="154"/>
    <tableColumn id="5" xr3:uid="{3509F3E9-9E62-F04E-8B22-358939C89DC6}" name="Data" dataDxfId="153"/>
    <tableColumn id="6" xr3:uid="{7D3DECDC-AC4F-8B44-963B-53A1476D0290}" name="MM" dataDxfId="152">
      <calculatedColumnFormula>(E2-MIN(E:E))/(MAX(E:E)-MIN(E:E))</calculatedColumnFormula>
    </tableColumn>
  </tableColumns>
  <tableStyleInfo name="TableStyleLight1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62BD3FB-A581-1A47-A48C-BB1EC5074053}" name="Table21" displayName="Table21" ref="H1:O93" totalsRowShown="0" headerRowDxfId="151">
  <autoFilter ref="H1:O93" xr:uid="{A62BD3FB-A581-1A47-A48C-BB1EC5074053}"/>
  <tableColumns count="8">
    <tableColumn id="1" xr3:uid="{52333596-6064-BA43-BE19-4E8167B357A2}" name="COUNTY" dataDxfId="150"/>
    <tableColumn id="2" xr3:uid="{047B601D-11FA-5A41-881C-D1C25E26CBD8}" name="TRUMP VOTES" dataDxfId="149"/>
    <tableColumn id="3" xr3:uid="{62D5C7D4-3320-D549-AC38-9CB6C8FBA331}" name="NbP" dataDxfId="148">
      <calculatedColumnFormula>Table21[[#This Row],[TRUMP VOTES]]/C96</calculatedColumnFormula>
    </tableColumn>
    <tableColumn id="4" xr3:uid="{D4979968-187B-9E4B-AFE4-58A4943A6D42}" name="TRUMP PCT" dataDxfId="147"/>
    <tableColumn id="5" xr3:uid="{D1A1CB4A-D922-1242-8AF3-7397F4A82256}" name="BIDEN VOTES" dataDxfId="146"/>
    <tableColumn id="6" xr3:uid="{381D4FE7-D539-3C49-AB4D-5EC4B6A35DD6}" name="NbP2" dataDxfId="145">
      <calculatedColumnFormula>Table21[[#This Row],[BIDEN VOTES]]/C96</calculatedColumnFormula>
    </tableColumn>
    <tableColumn id="7" xr3:uid="{133742DE-1EA9-D246-91C1-E86D2B89164D}" name="BIDEN PCT" dataDxfId="144"/>
    <tableColumn id="8" xr3:uid="{E14A9521-5D5E-0144-B2F3-055ABA3359BD}" name="None" dataDxfId="143">
      <calculatedColumnFormula>1-(Table21[[#This Row],[NbP]]+Table21[[#This Row],[NbP2]])</calculatedColumnFormula>
    </tableColumn>
  </tableColumns>
  <tableStyleInfo name="TableStyleLight1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2A4171A-1FC5-B445-BE93-46BD00603522}" name="Table37" displayName="Table37" ref="A95:C187" totalsRowShown="0" headerRowDxfId="142">
  <autoFilter ref="A95:C187" xr:uid="{42A4171A-1FC5-B445-BE93-46BD00603522}"/>
  <sortState xmlns:xlrd2="http://schemas.microsoft.com/office/spreadsheetml/2017/richdata2" ref="A96:C187">
    <sortCondition ref="B95:B187"/>
  </sortState>
  <tableColumns count="3">
    <tableColumn id="1" xr3:uid="{A10DC8E0-CCB8-AD4C-9B61-83960CA98630}" name="Rank" dataDxfId="141"/>
    <tableColumn id="2" xr3:uid="{2A043309-AC0B-CC41-AB12-2EAEE87B5211}" name="County" dataCellStyle="Hyperlink"/>
    <tableColumn id="3" xr3:uid="{5EE86DC4-083B-FE4A-B201-C561FACE61C1}" name="Population" dataDxfId="140"/>
  </tableColumns>
  <tableStyleInfo name="TableStyleLight1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77AA532-192A-ED40-87B0-9BF3F8879345}" name="Table22" displayName="Table22" ref="A1:F100" totalsRowShown="0" headerRowDxfId="139" dataDxfId="137" headerRowBorderDxfId="138" tableBorderDxfId="136">
  <autoFilter ref="A1:F100" xr:uid="{977AA532-192A-ED40-87B0-9BF3F8879345}"/>
  <tableColumns count="6">
    <tableColumn id="1" xr3:uid="{29753817-ADD7-FC40-AB90-0DE2A56A3992}" name="LocationType" dataDxfId="135"/>
    <tableColumn id="2" xr3:uid="{EDD9F59C-EC65-8B41-BA7A-A75D1CE2F8E6}" name="Location" dataDxfId="134"/>
    <tableColumn id="3" xr3:uid="{58D3E6DD-D2E2-7C45-8ADB-812CD01371BE}" name="TimeFrame" dataDxfId="133"/>
    <tableColumn id="4" xr3:uid="{611FB008-38BD-6546-BCBD-6C6D43923A9D}" name="DataFormat" dataDxfId="132"/>
    <tableColumn id="5" xr3:uid="{6FD83A8B-C289-0943-83D7-73F7F6A1CD73}" name="Data" dataDxfId="131"/>
    <tableColumn id="6" xr3:uid="{3AB282AC-FE5C-E446-9B42-BDEDB59C6832}" name="Column1" dataDxfId="130">
      <calculatedColumnFormula>(E2-MIN(E:E))/(MAX(E:E)-MIN(E:E))</calculatedColumnFormula>
    </tableColumn>
  </tableColumns>
  <tableStyleInfo name="TableStyleLight1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17E7889-0AE1-014D-9F42-1BD1AACF2807}" name="Table24" displayName="Table24" ref="H1:O100" totalsRowShown="0" headerRowDxfId="129">
  <autoFilter ref="H1:O100" xr:uid="{917E7889-0AE1-014D-9F42-1BD1AACF2807}"/>
  <tableColumns count="8">
    <tableColumn id="1" xr3:uid="{EA177840-A774-D446-AB99-3A3CCFA3BD66}" name="COUNTY" dataDxfId="128"/>
    <tableColumn id="2" xr3:uid="{1201113B-2325-DD4A-84C1-0FE2F12C6C97}" name="TRUMP VOTES" dataDxfId="127"/>
    <tableColumn id="3" xr3:uid="{3B5C847D-878F-4340-AE86-8C1BEE184E79}" name="Column1" dataDxfId="126">
      <calculatedColumnFormula>Table24[[#This Row],[TRUMP VOTES]]/C103</calculatedColumnFormula>
    </tableColumn>
    <tableColumn id="4" xr3:uid="{E0C58932-53F3-C24E-A857-D28710FF3E0D}" name="TRUMP PCT" dataDxfId="125"/>
    <tableColumn id="5" xr3:uid="{A4700FB1-7D20-174A-96A2-AF922D2D66BB}" name="BIDEN VOTES" dataDxfId="124"/>
    <tableColumn id="6" xr3:uid="{40F0F54A-294E-E043-8DA4-D7DEF1DBB866}" name="Column2" dataDxfId="123">
      <calculatedColumnFormula>Table24[[#This Row],[BIDEN VOTES]]/C103</calculatedColumnFormula>
    </tableColumn>
    <tableColumn id="7" xr3:uid="{19F05A24-9894-1B42-8001-21BBD7CAA55B}" name="BIDEN PCT" dataDxfId="122"/>
    <tableColumn id="8" xr3:uid="{77196E00-D8C7-7D44-A713-1857DF988CD2}" name="None" dataDxfId="121">
      <calculatedColumnFormula>1-(Table24[[#This Row],[Column1]]+Table24[[#This Row],[Column2]])</calculatedColumnFormula>
    </tableColumn>
  </tableColumns>
  <tableStyleInfo name="TableStyleLight1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395EC87-CA0C-9047-9BE1-526E5F7443DA}" name="Table38" displayName="Table38" ref="A102:C201" totalsRowShown="0" headerRowDxfId="120">
  <autoFilter ref="A102:C201" xr:uid="{4395EC87-CA0C-9047-9BE1-526E5F7443DA}"/>
  <tableColumns count="3">
    <tableColumn id="1" xr3:uid="{2CD2C9DF-81FC-2F4E-9ECD-28D8BF5942BA}" name="Rank" dataDxfId="119"/>
    <tableColumn id="2" xr3:uid="{D392922E-530B-F44C-8D2C-705E3F08FFD1}" name="County" dataCellStyle="Hyperlink"/>
    <tableColumn id="3" xr3:uid="{6237AD98-5CC9-8B47-94C7-5550C7EDD8DC}" name="Population" dataDxfId="118"/>
  </tableColumns>
  <tableStyleInfo name="TableStyleLight1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ABE065C-4A47-4C48-ABA3-64BD9EB67CBE}" name="Table25" displayName="Table25" ref="H1:O121" totalsRowShown="0" headerRowDxfId="117">
  <autoFilter ref="H1:O121" xr:uid="{AABE065C-4A47-4C48-ABA3-64BD9EB67CBE}"/>
  <tableColumns count="8">
    <tableColumn id="1" xr3:uid="{0CC7B74A-D0BC-074B-9DC0-C00E688F257E}" name="COUNTY" dataDxfId="116"/>
    <tableColumn id="2" xr3:uid="{74F25BDB-A6D7-FD42-9A73-AA5E46A6289E}" name="TRUMP VOTES" dataDxfId="115"/>
    <tableColumn id="9" xr3:uid="{6185041F-6EDA-564C-A93A-15ED7D99574A}" name="NbP" dataDxfId="114" dataCellStyle="Percent">
      <calculatedColumnFormula>Table25[[#This Row],[TRUMP VOTES]]/C128</calculatedColumnFormula>
    </tableColumn>
    <tableColumn id="3" xr3:uid="{0B5C9C2F-CA3D-734A-8A81-2799ADB646F7}" name="TRUMP PCT" dataDxfId="113"/>
    <tableColumn id="4" xr3:uid="{ED4B6DA4-E124-0545-9A21-1073CD429ACF}" name="BIDEN VOTES" dataDxfId="112"/>
    <tableColumn id="10" xr3:uid="{891CE83F-2A7F-1146-A758-C00D7A8F4B68}" name="NbP2" dataDxfId="111" dataCellStyle="Percent">
      <calculatedColumnFormula>Table25[[#This Row],[BIDEN VOTES]]/C128</calculatedColumnFormula>
    </tableColumn>
    <tableColumn id="5" xr3:uid="{DDCEE86F-BEFB-B345-9389-ED1B1D66C538}" name="BIDEN PCT" dataDxfId="110"/>
    <tableColumn id="8" xr3:uid="{8B49402C-809A-CD49-8122-42FB40CACC34}" name="None" dataDxfId="109">
      <calculatedColumnFormula>1-(Table25[[#This Row],[NbP]]+Table25[[#This Row],[NbP2]])</calculatedColumnFormula>
    </tableColumn>
  </tableColumns>
  <tableStyleInfo name="TableStyleLight1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DAFBA3C-C39F-BB4A-A3B2-37E859548EF0}" name="Table26" displayName="Table26" ref="A1:F121" totalsRowShown="0" headerRowDxfId="108" dataDxfId="106" headerRowBorderDxfId="107" tableBorderDxfId="105">
  <autoFilter ref="A1:F121" xr:uid="{3DAFBA3C-C39F-BB4A-A3B2-37E859548EF0}"/>
  <tableColumns count="6">
    <tableColumn id="1" xr3:uid="{04C1F2F9-D5AC-754B-BD20-C363EC57727B}" name="LocationType" dataDxfId="104"/>
    <tableColumn id="2" xr3:uid="{0850959D-5E60-5842-BA1A-E6E92FFF8421}" name="Location" dataDxfId="103"/>
    <tableColumn id="3" xr3:uid="{06B76DB9-FC9C-4F4E-8357-DD266972338B}" name="TimeFrame" dataDxfId="102"/>
    <tableColumn id="4" xr3:uid="{C2A81922-CA78-924A-BA07-47B928652EB1}" name="DataFormat" dataDxfId="101"/>
    <tableColumn id="5" xr3:uid="{AEFEEBB6-54BC-B149-8925-3DD0ECB96A66}" name="Data" dataDxfId="100"/>
    <tableColumn id="7" xr3:uid="{805E069A-3648-DB42-ACEF-E19B64008287}" name="Rate" dataDxfId="99">
      <calculatedColumnFormula>Table26[[#This Row],[Data]]/C128</calculatedColumnFormula>
    </tableColumn>
  </tableColumns>
  <tableStyleInfo name="TableStyleLight1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FF0F59B-E044-9244-A85C-E9B03CB317E8}" name="Table27" displayName="Table27" ref="A127:C248" totalsRowShown="0" headerRowDxfId="98">
  <autoFilter ref="A127:C248" xr:uid="{EFF0F59B-E044-9244-A85C-E9B03CB317E8}"/>
  <sortState xmlns:xlrd2="http://schemas.microsoft.com/office/spreadsheetml/2017/richdata2" ref="A128:C247">
    <sortCondition ref="B127:B247"/>
  </sortState>
  <tableColumns count="3">
    <tableColumn id="1" xr3:uid="{5C327988-3C2E-5F4D-8687-7378F726098D}" name="Rank" dataDxfId="97"/>
    <tableColumn id="2" xr3:uid="{F571BC81-E32A-1146-AF9C-0F058E36F89F}" name="County" dataDxfId="96"/>
    <tableColumn id="3" xr3:uid="{E5976BDD-D7C7-1241-A441-06C2143972D8}" name="Population" dataDxfId="95"/>
  </tableColumns>
  <tableStyleInfo name="TableStyleLight1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DC03FA-2370-4A46-97C9-89B31691796B}" name="Table2" displayName="Table2" ref="H1:N96" totalsRowShown="0" headerRowDxfId="94" dataDxfId="93">
  <autoFilter ref="H1:N96" xr:uid="{AFDC03FA-2370-4A46-97C9-89B31691796B}"/>
  <sortState xmlns:xlrd2="http://schemas.microsoft.com/office/spreadsheetml/2017/richdata2" ref="H2:L96">
    <sortCondition ref="H1:H96"/>
  </sortState>
  <tableColumns count="7">
    <tableColumn id="1" xr3:uid="{753923B5-2AD5-1D4E-8ADB-F8964F6A13C7}" name="COUNTY" dataDxfId="92"/>
    <tableColumn id="2" xr3:uid="{BD65B8E5-E1C4-BB45-900F-911E672D88FE}" name="TRUMP VOTES" dataDxfId="91"/>
    <tableColumn id="3" xr3:uid="{9C3A5B63-2641-0844-AFF8-CCD044F585AB}" name="NbP" dataDxfId="90">
      <calculatedColumnFormula>Table2[[#This Row],[TRUMP VOTES]]/C101</calculatedColumnFormula>
    </tableColumn>
    <tableColumn id="4" xr3:uid="{9824D3CD-757C-8B4C-81D2-4CE91840CE53}" name="BIDEN VOTES" dataDxfId="89"/>
    <tableColumn id="5" xr3:uid="{9625A9F4-7A5D-C14A-B187-DC055F90827D}" name="NbP2" dataDxfId="88">
      <calculatedColumnFormula>Table2[[#This Row],[BIDEN VOTES]]/C101</calculatedColumnFormula>
    </tableColumn>
    <tableColumn id="7" xr3:uid="{1F7A073C-6EE7-7345-9355-E01AEEAC079D}" name="Normalized B" dataDxfId="87">
      <calculatedColumnFormula>Table2[[#This Row],[BIDEN VOTES]]/(MAX(K:K)-MIN(K:K))</calculatedColumnFormula>
    </tableColumn>
    <tableColumn id="8" xr3:uid="{EE0C33E9-93DB-734E-9CD5-E25D97D6FE4D}" name="None" dataDxfId="86">
      <calculatedColumnFormula>1-(Table2[[#This Row],[NbP]]+Table2[[#This Row],[NbP2]])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0971D5F-20E7-A445-AD04-DA92F93FF42C}" name="Table53" displayName="Table53" ref="G1:N84" totalsRowShown="0" headerRowDxfId="616">
  <autoFilter ref="G1:N84" xr:uid="{80971D5F-20E7-A445-AD04-DA92F93FF42C}"/>
  <sortState xmlns:xlrd2="http://schemas.microsoft.com/office/spreadsheetml/2017/richdata2" ref="G2:N84">
    <sortCondition ref="G1:G84"/>
  </sortState>
  <tableColumns count="8">
    <tableColumn id="1" xr3:uid="{1153CB55-A838-3B4D-82CA-2CFC67F42EA2}" name="COUNTY" dataDxfId="615"/>
    <tableColumn id="2" xr3:uid="{804B19DB-3F2F-984B-AF3C-6DBC2370BBFD}" name="BIDEN VOTES" dataDxfId="614"/>
    <tableColumn id="6" xr3:uid="{BBCD1261-49F3-AC44-9735-72EC968AADF2}" name="NbP" dataDxfId="613">
      <calculatedColumnFormula>Table53[[#This Row],[BIDEN VOTES]]/C87</calculatedColumnFormula>
    </tableColumn>
    <tableColumn id="3" xr3:uid="{620C0C92-239A-134E-8780-A2DB582B65C7}" name="BIDEN PCT" dataDxfId="612"/>
    <tableColumn id="4" xr3:uid="{E8ACE34F-4F4E-314B-8381-6F4F0CBC5CBE}" name="TRUMP VOTES" dataDxfId="611"/>
    <tableColumn id="7" xr3:uid="{A1CC634C-885E-6E42-B26C-0A689E0951A3}" name="NbP2" dataDxfId="610">
      <calculatedColumnFormula>Table53[[#This Row],[TRUMP VOTES]]/C87</calculatedColumnFormula>
    </tableColumn>
    <tableColumn id="5" xr3:uid="{78C38907-13E9-9640-88B6-BAEEC559D9B1}" name="TRUMP PCT" dataDxfId="609"/>
    <tableColumn id="8" xr3:uid="{3D577188-CE48-E34F-B367-149EB8264568}" name="None" dataDxfId="608">
      <calculatedColumnFormula>1-(Table53[[#This Row],[NbP]]+Table53[[#This Row],[NbP2]])</calculatedColumnFormula>
    </tableColumn>
  </tableColumns>
  <tableStyleInfo name="TableStyleLight1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907E28-3698-8240-B53D-2563A6212FFE}" name="Table3" displayName="Table3" ref="A1:F96" totalsRowShown="0" headerRowDxfId="85" dataDxfId="83" headerRowBorderDxfId="84" tableBorderDxfId="82">
  <autoFilter ref="A1:F96" xr:uid="{B0907E28-3698-8240-B53D-2563A6212FFE}"/>
  <tableColumns count="6">
    <tableColumn id="1" xr3:uid="{73C2637F-14A0-DA48-A9BE-DFCE281712EC}" name="LocationType" dataDxfId="81"/>
    <tableColumn id="2" xr3:uid="{AA41BFC5-2618-3B49-BE80-E8811F6F2A5C}" name="Location" dataDxfId="80"/>
    <tableColumn id="3" xr3:uid="{5431BE81-C1A2-414D-B27E-4943599C8BEE}" name="TimeFrame" dataDxfId="79"/>
    <tableColumn id="4" xr3:uid="{A3AA347A-64EB-E34F-8D52-9AFD6578FDEC}" name="DataFormat" dataDxfId="78"/>
    <tableColumn id="5" xr3:uid="{294AFAA9-4758-8240-A9E2-8608B8097003}" name="Perc. Abused_x000a_(Same-Age Population)" dataDxfId="77"/>
    <tableColumn id="6" xr3:uid="{62B7F813-A4CE-B246-8720-A8AE4F2619C0}" name="Normalized" dataDxfId="76">
      <calculatedColumnFormula>Table3[[#This Row],[Perc. Abused
(Same-Age Population)]]/(MAX(E:E)-MIN(E:E))</calculatedColumnFormula>
    </tableColumn>
  </tableColumns>
  <tableStyleInfo name="TableStyleLight1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BC4A747-A76F-5141-BE9B-231118A3EC5B}" name="Table39" displayName="Table39" ref="A100:C195" totalsRowShown="0" headerRowDxfId="75">
  <autoFilter ref="A100:C195" xr:uid="{DBC4A747-A76F-5141-BE9B-231118A3EC5B}"/>
  <sortState xmlns:xlrd2="http://schemas.microsoft.com/office/spreadsheetml/2017/richdata2" ref="A101:C195">
    <sortCondition ref="B100:B195"/>
  </sortState>
  <tableColumns count="3">
    <tableColumn id="1" xr3:uid="{16C15D45-5FAB-314D-BF45-4DECF5A345B2}" name="Rank" dataDxfId="74"/>
    <tableColumn id="2" xr3:uid="{B1BC7481-C37B-2F47-A19E-341205E40CED}" name="County" dataCellStyle="Hyperlink"/>
    <tableColumn id="3" xr3:uid="{59B948C3-5AB9-6B4D-8C4D-87FDADC2FBC6}" name="Population" dataDxfId="73"/>
  </tableColumns>
  <tableStyleInfo name="TableStyleLight1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17B6D8E-AB79-1545-9FCB-3A42E662C390}" name="Table40" displayName="Table40" ref="A24:C45" totalsRowShown="0" headerRowDxfId="72">
  <autoFilter ref="A24:C45" xr:uid="{D17B6D8E-AB79-1545-9FCB-3A42E662C390}"/>
  <sortState xmlns:xlrd2="http://schemas.microsoft.com/office/spreadsheetml/2017/richdata2" ref="A25:C45">
    <sortCondition ref="B24:B45"/>
  </sortState>
  <tableColumns count="3">
    <tableColumn id="1" xr3:uid="{BE72B772-EEC7-8A40-B171-94746F2B26B2}" name="Rank" dataDxfId="71"/>
    <tableColumn id="2" xr3:uid="{76067145-908F-4749-BFB5-10354C777C30}" name="County" dataCellStyle="Hyperlink"/>
    <tableColumn id="3" xr3:uid="{CF7C18F6-84D8-D942-B813-F97C2BF0C3D6}" name="Population" dataDxfId="70"/>
  </tableColumns>
  <tableStyleInfo name="TableStyleLight1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F7355A2-837B-DE44-84DC-DC0F0E2F1C91}" name="Table41" displayName="Table41" ref="H1:O22" totalsRowShown="0" headerRowDxfId="69">
  <autoFilter ref="H1:O22" xr:uid="{2F7355A2-837B-DE44-84DC-DC0F0E2F1C91}"/>
  <tableColumns count="8">
    <tableColumn id="1" xr3:uid="{3AB9E529-B5F8-DF44-8C2D-DDEDE19E183A}" name="COUNTY" dataDxfId="68"/>
    <tableColumn id="2" xr3:uid="{D8957379-CDE1-5549-BE5B-504AFB6F2BF0}" name="BIDEN VOTES" dataDxfId="67"/>
    <tableColumn id="3" xr3:uid="{DABED76D-F8CF-1045-8A0E-1205BA16276F}" name="NdP" dataDxfId="66">
      <calculatedColumnFormula>I2/C25</calculatedColumnFormula>
    </tableColumn>
    <tableColumn id="5" xr3:uid="{20CB7E6E-C423-A242-AF01-3812C73443B2}" name="BIDEN PCT" dataDxfId="65"/>
    <tableColumn id="6" xr3:uid="{229835F7-E15B-2149-A821-4494F36E0762}" name="TRUMP VOTES" dataDxfId="64"/>
    <tableColumn id="10" xr3:uid="{C84B96EB-079A-654E-9DA0-47B0D221D7B0}" name="NdP2" dataDxfId="63">
      <calculatedColumnFormula>Table41[[#This Row],[TRUMP VOTES]]/C25</calculatedColumnFormula>
    </tableColumn>
    <tableColumn id="8" xr3:uid="{B70C8397-F5F4-2E48-B053-F1599D594B15}" name="TRUMP PCT" dataDxfId="62"/>
    <tableColumn id="9" xr3:uid="{1877D3B4-6629-7047-8829-50ECBE10197C}" name="None" dataDxfId="61">
      <calculatedColumnFormula>1-(Table41[[#This Row],[NdP]]+Table41[[#This Row],[NdP2]])</calculatedColumnFormula>
    </tableColumn>
  </tableColumns>
  <tableStyleInfo name="TableStyleLight1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91263C-86EC-8F47-AFDD-AAB4CCD05983}" name="Table4" displayName="Table4" ref="H1:O35" totalsRowShown="0" headerRowDxfId="60">
  <autoFilter ref="H1:O35" xr:uid="{2091263C-86EC-8F47-AFDD-AAB4CCD05983}"/>
  <sortState xmlns:xlrd2="http://schemas.microsoft.com/office/spreadsheetml/2017/richdata2" ref="H2:O35">
    <sortCondition ref="H1:H35"/>
  </sortState>
  <tableColumns count="8">
    <tableColumn id="1" xr3:uid="{7C839F3F-8A8C-8C49-9390-5B0F80E763DA}" name="COUNTY" dataDxfId="59"/>
    <tableColumn id="2" xr3:uid="{75B88CB8-F98F-8142-9F91-49D78B488A2D}" name="BIDEN VOTES" dataDxfId="58"/>
    <tableColumn id="6" xr3:uid="{A927404D-4B2E-2B4E-93A9-114C2E503CA8}" name="NbP" dataDxfId="57">
      <calculatedColumnFormula>Table4[[#This Row],[BIDEN VOTES]]/C38</calculatedColumnFormula>
    </tableColumn>
    <tableColumn id="3" xr3:uid="{595F12D8-09D1-AF4A-8D22-542D13F92814}" name="BIDEN PCT" dataDxfId="56"/>
    <tableColumn id="4" xr3:uid="{04EF262C-3A56-F74B-8186-F520E68C5700}" name="TRUMP VOTES" dataDxfId="55"/>
    <tableColumn id="7" xr3:uid="{CE1E091C-716E-BD4D-85BB-56ACC8679427}" name="NbP2" dataDxfId="54">
      <calculatedColumnFormula>Table4[[#This Row],[TRUMP VOTES]]/C38</calculatedColumnFormula>
    </tableColumn>
    <tableColumn id="5" xr3:uid="{227F9672-73A4-764F-91ED-7D613DEFFC8F}" name="TRUMP PCT" dataDxfId="53"/>
    <tableColumn id="9" xr3:uid="{976E2FF6-0D6A-2547-96C5-8C6145E7D504}" name="None" dataDxfId="52">
      <calculatedColumnFormula>1-(Table4[[#This Row],[NbP]]+Table4[[#This Row],[NbP2]])</calculatedColumnFormula>
    </tableColumn>
  </tableColumns>
  <tableStyleInfo name="TableStyleLight1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2318EE3-7732-424F-9D0E-07F9995AA45A}" name="Table42" displayName="Table42" ref="A37:C71" totalsRowShown="0" headerRowDxfId="51">
  <autoFilter ref="A37:C71" xr:uid="{A2318EE3-7732-424F-9D0E-07F9995AA45A}"/>
  <sortState xmlns:xlrd2="http://schemas.microsoft.com/office/spreadsheetml/2017/richdata2" ref="A38:C71">
    <sortCondition ref="B37:B71"/>
  </sortState>
  <tableColumns count="3">
    <tableColumn id="1" xr3:uid="{EFBDB2AC-CF12-0748-9B6C-3ED26991484E}" name="Rank" dataDxfId="50"/>
    <tableColumn id="2" xr3:uid="{ABB8D732-47FC-064D-A63E-113F8A2DCAC1}" name="County" dataCellStyle="Hyperlink"/>
    <tableColumn id="3" xr3:uid="{818492B3-C6F1-6744-BDC1-81EA2E28C43E}" name="Population" dataDxfId="49"/>
  </tableColumns>
  <tableStyleInfo name="TableStyleLight1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76269B4-F64F-2A4A-ABA7-881962FA052F}" name="Table6" displayName="Table6" ref="H1:O254" totalsRowShown="0" headerRowDxfId="48">
  <autoFilter ref="H1:O254" xr:uid="{776269B4-F64F-2A4A-ABA7-881962FA052F}"/>
  <sortState xmlns:xlrd2="http://schemas.microsoft.com/office/spreadsheetml/2017/richdata2" ref="H2:O254">
    <sortCondition ref="H1:H254"/>
  </sortState>
  <tableColumns count="8">
    <tableColumn id="1" xr3:uid="{F0F1AE14-7268-1149-AD41-49C6E84C6ED4}" name="COUNTY" dataDxfId="47"/>
    <tableColumn id="2" xr3:uid="{739F611C-35D3-BF47-BD61-AAF693DAC699}" name="TRUMP VOTES" dataDxfId="46"/>
    <tableColumn id="6" xr3:uid="{7AB5C8B2-4CDF-DE4A-BFA7-E47AD1698C0F}" name="NbP" dataDxfId="45">
      <calculatedColumnFormula>Table6[[#This Row],[TRUMP VOTES]]/C256</calculatedColumnFormula>
    </tableColumn>
    <tableColumn id="3" xr3:uid="{B317EB90-3061-844E-877B-ACEF86FF651F}" name="TRUMP PCT" dataDxfId="44"/>
    <tableColumn id="4" xr3:uid="{0E0AA7D1-1F16-7E49-B854-F84DF978B80D}" name="BIDEN VOTES" dataDxfId="43"/>
    <tableColumn id="9" xr3:uid="{E74E0F22-4807-0944-91A2-F36A8B93E5BA}" name="NbP2" dataDxfId="42">
      <calculatedColumnFormula>Table6[[#This Row],[BIDEN VOTES]]/C257</calculatedColumnFormula>
    </tableColumn>
    <tableColumn id="5" xr3:uid="{30E41B4D-4971-2A4C-81B2-82EFDBD70CB6}" name="BIDEN PCT" dataDxfId="41"/>
    <tableColumn id="8" xr3:uid="{8CDC2567-6603-4645-87B5-CEB302B10CFA}" name="None" dataDxfId="40">
      <calculatedColumnFormula>1-(Table6[[#This Row],[NbP]]+Table6[[#This Row],[NbP2]])</calculatedColumnFormula>
    </tableColumn>
  </tableColumns>
  <tableStyleInfo name="TableStyleLight1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B016720-9298-634D-8D09-8D220154EF93}" name="Table43" displayName="Table43" ref="A256:C509" totalsRowShown="0" headerRowDxfId="39" dataDxfId="38">
  <autoFilter ref="A256:C509" xr:uid="{AB016720-9298-634D-8D09-8D220154EF93}"/>
  <sortState xmlns:xlrd2="http://schemas.microsoft.com/office/spreadsheetml/2017/richdata2" ref="A257:C509">
    <sortCondition ref="B256:B509"/>
  </sortState>
  <tableColumns count="3">
    <tableColumn id="1" xr3:uid="{A3EB4946-2B79-E748-9391-94AA5A1B76AF}" name="Rank" dataDxfId="37"/>
    <tableColumn id="2" xr3:uid="{AEA194E6-EAD4-FB4E-B970-7DCEBF19F274}" name="County" dataDxfId="36"/>
    <tableColumn id="3" xr3:uid="{34AE7A6C-5F5A-9C4D-A693-D3BDB81FCF87}" name="Population" dataDxfId="35"/>
  </tableColumns>
  <tableStyleInfo name="TableStyleLight1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D41C787-E44F-5745-9144-DBA44904501A}" name="Table44" displayName="Table44" ref="A58:C113" totalsRowShown="0" headerRowDxfId="34">
  <autoFilter ref="A58:C113" xr:uid="{8D41C787-E44F-5745-9144-DBA44904501A}"/>
  <sortState xmlns:xlrd2="http://schemas.microsoft.com/office/spreadsheetml/2017/richdata2" ref="A59:C113">
    <sortCondition ref="B58:B113"/>
  </sortState>
  <tableColumns count="3">
    <tableColumn id="1" xr3:uid="{DE119780-7800-CF4B-B57E-AB1F420B6745}" name="Rank" dataDxfId="33"/>
    <tableColumn id="2" xr3:uid="{5E893E20-2F13-0B48-A79F-F5FFA0462161}" name="County" dataCellStyle="Hyperlink"/>
    <tableColumn id="3" xr3:uid="{A6B30D1E-7705-184C-99F6-6AD4C98A6E97}" name="Population" dataDxfId="32"/>
  </tableColumns>
  <tableStyleInfo name="TableStyleLight1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9C259C0-2E94-9345-96A3-0DFDB6181CF3}" name="Table45" displayName="Table45" ref="H1:O56" totalsRowShown="0" headerRowDxfId="31">
  <autoFilter ref="H1:O56" xr:uid="{59C259C0-2E94-9345-96A3-0DFDB6181CF3}"/>
  <tableColumns count="8">
    <tableColumn id="1" xr3:uid="{E62974C5-1E41-5041-AC89-09ACB8DF3D7D}" name="COUNTY" dataDxfId="30"/>
    <tableColumn id="2" xr3:uid="{F2716FCC-329A-834A-A832-C323BD753C79}" name="TRUMP VOTES" dataDxfId="29"/>
    <tableColumn id="9" xr3:uid="{6B84E017-F481-E042-AF5B-CD301E38F280}" name="NbP" dataDxfId="28">
      <calculatedColumnFormula>Table45[[#This Row],[TRUMP VOTES]]/C59</calculatedColumnFormula>
    </tableColumn>
    <tableColumn id="4" xr3:uid="{3242CBDA-66B7-FB45-B5D9-286BD46CB903}" name="TRUMP PCT" dataDxfId="27"/>
    <tableColumn id="5" xr3:uid="{34F195A1-84EF-A243-84AF-5FE12A639960}" name="BIDEN VOTES" dataDxfId="26"/>
    <tableColumn id="11" xr3:uid="{0C736C67-95E6-8E4B-8228-9F9D056DDDAA}" name="NbP2" dataDxfId="25">
      <calculatedColumnFormula>Table45[[#This Row],[BIDEN VOTES]]/C59</calculatedColumnFormula>
    </tableColumn>
    <tableColumn id="7" xr3:uid="{CF8F2119-05FA-DF40-82A9-6918DB9415B1}" name="BIDEN PCT" dataDxfId="24"/>
    <tableColumn id="8" xr3:uid="{7A86D3F4-15C8-204F-834C-B50B3BE29C3C}" name="None" dataDxfId="23">
      <calculatedColumnFormula>1-(Table45[[#This Row],[NbP]]+Table45[[#This Row],[NbP2]])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whampshire-demographics.com/carroll-county-demographics" TargetMode="External"/><Relationship Id="rId13" Type="http://schemas.openxmlformats.org/officeDocument/2006/relationships/table" Target="../tables/table28.xml"/><Relationship Id="rId3" Type="http://schemas.openxmlformats.org/officeDocument/2006/relationships/hyperlink" Target="https://www.newhampshire-demographics.com/merrimack-county-demographics" TargetMode="External"/><Relationship Id="rId7" Type="http://schemas.openxmlformats.org/officeDocument/2006/relationships/hyperlink" Target="https://www.newhampshire-demographics.com/belknap-county-demographics" TargetMode="External"/><Relationship Id="rId12" Type="http://schemas.openxmlformats.org/officeDocument/2006/relationships/table" Target="../tables/table27.xml"/><Relationship Id="rId2" Type="http://schemas.openxmlformats.org/officeDocument/2006/relationships/hyperlink" Target="https://www.newhampshire-demographics.com/rockingham-county-demographics" TargetMode="External"/><Relationship Id="rId1" Type="http://schemas.openxmlformats.org/officeDocument/2006/relationships/hyperlink" Target="https://www.newhampshire-demographics.com/hillsborough-county-demographics" TargetMode="External"/><Relationship Id="rId6" Type="http://schemas.openxmlformats.org/officeDocument/2006/relationships/hyperlink" Target="https://www.newhampshire-demographics.com/cheshire-county-demographics" TargetMode="External"/><Relationship Id="rId11" Type="http://schemas.openxmlformats.org/officeDocument/2006/relationships/table" Target="../tables/table26.xml"/><Relationship Id="rId5" Type="http://schemas.openxmlformats.org/officeDocument/2006/relationships/hyperlink" Target="https://www.newhampshire-demographics.com/grafton-county-demographics" TargetMode="External"/><Relationship Id="rId10" Type="http://schemas.openxmlformats.org/officeDocument/2006/relationships/hyperlink" Target="https://www.newhampshire-demographics.com/coos-county-demographics" TargetMode="External"/><Relationship Id="rId4" Type="http://schemas.openxmlformats.org/officeDocument/2006/relationships/hyperlink" Target="https://www.newhampshire-demographics.com/strafford-county-demographics" TargetMode="External"/><Relationship Id="rId9" Type="http://schemas.openxmlformats.org/officeDocument/2006/relationships/hyperlink" Target="https://www.newhampshire-demographics.com/sullivan-county-demographics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ewmexico-demographics.com/rio-arriba-county-demographics" TargetMode="External"/><Relationship Id="rId18" Type="http://schemas.openxmlformats.org/officeDocument/2006/relationships/hyperlink" Target="https://www.newmexico-demographics.com/luna-county-demographics" TargetMode="External"/><Relationship Id="rId26" Type="http://schemas.openxmlformats.org/officeDocument/2006/relationships/hyperlink" Target="https://www.newmexico-demographics.com/quay-county-demographics" TargetMode="External"/><Relationship Id="rId3" Type="http://schemas.openxmlformats.org/officeDocument/2006/relationships/hyperlink" Target="https://www.newmexico-demographics.com/santa-fe-county-demographics" TargetMode="External"/><Relationship Id="rId21" Type="http://schemas.openxmlformats.org/officeDocument/2006/relationships/hyperlink" Target="https://www.newmexico-demographics.com/roosevelt-county-demographics" TargetMode="External"/><Relationship Id="rId34" Type="http://schemas.openxmlformats.org/officeDocument/2006/relationships/table" Target="../tables/table29.xml"/><Relationship Id="rId7" Type="http://schemas.openxmlformats.org/officeDocument/2006/relationships/hyperlink" Target="https://www.newmexico-demographics.com/mckinley-county-demographics" TargetMode="External"/><Relationship Id="rId12" Type="http://schemas.openxmlformats.org/officeDocument/2006/relationships/hyperlink" Target="https://www.newmexico-demographics.com/curry-county-demographics" TargetMode="External"/><Relationship Id="rId17" Type="http://schemas.openxmlformats.org/officeDocument/2006/relationships/hyperlink" Target="https://www.newmexico-demographics.com/cibola-county-demographics" TargetMode="External"/><Relationship Id="rId25" Type="http://schemas.openxmlformats.org/officeDocument/2006/relationships/hyperlink" Target="https://www.newmexico-demographics.com/sierra-county-demographics" TargetMode="External"/><Relationship Id="rId33" Type="http://schemas.openxmlformats.org/officeDocument/2006/relationships/hyperlink" Target="https://www.newmexico-demographics.com/harding-county-demographics" TargetMode="External"/><Relationship Id="rId2" Type="http://schemas.openxmlformats.org/officeDocument/2006/relationships/hyperlink" Target="https://www.newmexico-demographics.com/dona-ana-county-demographics" TargetMode="External"/><Relationship Id="rId16" Type="http://schemas.openxmlformats.org/officeDocument/2006/relationships/hyperlink" Target="https://www.newmexico-demographics.com/grant-county-demographics" TargetMode="External"/><Relationship Id="rId20" Type="http://schemas.openxmlformats.org/officeDocument/2006/relationships/hyperlink" Target="https://www.newmexico-demographics.com/los-alamos-county-demographics" TargetMode="External"/><Relationship Id="rId29" Type="http://schemas.openxmlformats.org/officeDocument/2006/relationships/hyperlink" Target="https://www.newmexico-demographics.com/hidalgo-county-demographics" TargetMode="External"/><Relationship Id="rId1" Type="http://schemas.openxmlformats.org/officeDocument/2006/relationships/hyperlink" Target="https://www.newmexico-demographics.com/bernalillo-county-demographics" TargetMode="External"/><Relationship Id="rId6" Type="http://schemas.openxmlformats.org/officeDocument/2006/relationships/hyperlink" Target="https://www.newmexico-demographics.com/valencia-county-demographics" TargetMode="External"/><Relationship Id="rId11" Type="http://schemas.openxmlformats.org/officeDocument/2006/relationships/hyperlink" Target="https://www.newmexico-demographics.com/eddy-county-demographics" TargetMode="External"/><Relationship Id="rId24" Type="http://schemas.openxmlformats.org/officeDocument/2006/relationships/hyperlink" Target="https://www.newmexico-demographics.com/colfax-county-demographics" TargetMode="External"/><Relationship Id="rId32" Type="http://schemas.openxmlformats.org/officeDocument/2006/relationships/hyperlink" Target="https://www.newmexico-demographics.com/de-baca-county-demographics" TargetMode="External"/><Relationship Id="rId5" Type="http://schemas.openxmlformats.org/officeDocument/2006/relationships/hyperlink" Target="https://www.newmexico-demographics.com/san-juan-county-demographics" TargetMode="External"/><Relationship Id="rId15" Type="http://schemas.openxmlformats.org/officeDocument/2006/relationships/hyperlink" Target="https://www.newmexico-demographics.com/san-miguel-county-demographics" TargetMode="External"/><Relationship Id="rId23" Type="http://schemas.openxmlformats.org/officeDocument/2006/relationships/hyperlink" Target="https://www.newmexico-demographics.com/torrance-county-demographics" TargetMode="External"/><Relationship Id="rId28" Type="http://schemas.openxmlformats.org/officeDocument/2006/relationships/hyperlink" Target="https://www.newmexico-demographics.com/guadalupe-county-demographics" TargetMode="External"/><Relationship Id="rId36" Type="http://schemas.openxmlformats.org/officeDocument/2006/relationships/table" Target="../tables/table31.xml"/><Relationship Id="rId10" Type="http://schemas.openxmlformats.org/officeDocument/2006/relationships/hyperlink" Target="https://www.newmexico-demographics.com/chaves-county-demographics" TargetMode="External"/><Relationship Id="rId19" Type="http://schemas.openxmlformats.org/officeDocument/2006/relationships/hyperlink" Target="https://www.newmexico-demographics.com/lincoln-county-demographics" TargetMode="External"/><Relationship Id="rId31" Type="http://schemas.openxmlformats.org/officeDocument/2006/relationships/hyperlink" Target="https://www.newmexico-demographics.com/catron-county-demographics" TargetMode="External"/><Relationship Id="rId4" Type="http://schemas.openxmlformats.org/officeDocument/2006/relationships/hyperlink" Target="https://www.newmexico-demographics.com/sandoval-county-demographics" TargetMode="External"/><Relationship Id="rId9" Type="http://schemas.openxmlformats.org/officeDocument/2006/relationships/hyperlink" Target="https://www.newmexico-demographics.com/otero-county-demographics" TargetMode="External"/><Relationship Id="rId14" Type="http://schemas.openxmlformats.org/officeDocument/2006/relationships/hyperlink" Target="https://www.newmexico-demographics.com/taos-county-demographics" TargetMode="External"/><Relationship Id="rId22" Type="http://schemas.openxmlformats.org/officeDocument/2006/relationships/hyperlink" Target="https://www.newmexico-demographics.com/socorro-county-demographics" TargetMode="External"/><Relationship Id="rId27" Type="http://schemas.openxmlformats.org/officeDocument/2006/relationships/hyperlink" Target="https://www.newmexico-demographics.com/mora-county-demographics" TargetMode="External"/><Relationship Id="rId30" Type="http://schemas.openxmlformats.org/officeDocument/2006/relationships/hyperlink" Target="https://www.newmexico-demographics.com/union-county-demographics" TargetMode="External"/><Relationship Id="rId35" Type="http://schemas.openxmlformats.org/officeDocument/2006/relationships/table" Target="../tables/table30.xml"/><Relationship Id="rId8" Type="http://schemas.openxmlformats.org/officeDocument/2006/relationships/hyperlink" Target="https://www.newmexico-demographics.com/lea-county-demographics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ewyork-demographics.com/oneida-county-demographics" TargetMode="External"/><Relationship Id="rId18" Type="http://schemas.openxmlformats.org/officeDocument/2006/relationships/hyperlink" Target="https://www.newyork-demographics.com/schenectady-county-demographics" TargetMode="External"/><Relationship Id="rId26" Type="http://schemas.openxmlformats.org/officeDocument/2006/relationships/hyperlink" Target="https://www.newyork-demographics.com/wayne-county-demographics" TargetMode="External"/><Relationship Id="rId39" Type="http://schemas.openxmlformats.org/officeDocument/2006/relationships/hyperlink" Target="https://www.newyork-demographics.com/genesee-county-demographics" TargetMode="External"/><Relationship Id="rId21" Type="http://schemas.openxmlformats.org/officeDocument/2006/relationships/hyperlink" Target="https://www.newyork-demographics.com/jefferson-county-demographics" TargetMode="External"/><Relationship Id="rId34" Type="http://schemas.openxmlformats.org/officeDocument/2006/relationships/hyperlink" Target="https://www.newyork-demographics.com/livingston-county-demographics" TargetMode="External"/><Relationship Id="rId42" Type="http://schemas.openxmlformats.org/officeDocument/2006/relationships/hyperlink" Target="https://www.newyork-demographics.com/montgomery-county-demographics" TargetMode="External"/><Relationship Id="rId47" Type="http://schemas.openxmlformats.org/officeDocument/2006/relationships/hyperlink" Target="https://www.newyork-demographics.com/allegany-county-demographics" TargetMode="External"/><Relationship Id="rId50" Type="http://schemas.openxmlformats.org/officeDocument/2006/relationships/hyperlink" Target="https://www.newyork-demographics.com/wyoming-county-demographics" TargetMode="External"/><Relationship Id="rId55" Type="http://schemas.openxmlformats.org/officeDocument/2006/relationships/hyperlink" Target="https://www.newyork-demographics.com/yates-county-demographics" TargetMode="External"/><Relationship Id="rId7" Type="http://schemas.openxmlformats.org/officeDocument/2006/relationships/hyperlink" Target="https://www.newyork-demographics.com/onondaga-county-demographics" TargetMode="External"/><Relationship Id="rId2" Type="http://schemas.openxmlformats.org/officeDocument/2006/relationships/hyperlink" Target="https://www.newyork-demographics.com/nassau-county-demographics" TargetMode="External"/><Relationship Id="rId16" Type="http://schemas.openxmlformats.org/officeDocument/2006/relationships/hyperlink" Target="https://www.newyork-demographics.com/ulster-county-demographics" TargetMode="External"/><Relationship Id="rId29" Type="http://schemas.openxmlformats.org/officeDocument/2006/relationships/hyperlink" Target="https://www.newyork-demographics.com/cayuga-county-demographics" TargetMode="External"/><Relationship Id="rId11" Type="http://schemas.openxmlformats.org/officeDocument/2006/relationships/hyperlink" Target="https://www.newyork-demographics.com/dutchess-county-demographics" TargetMode="External"/><Relationship Id="rId24" Type="http://schemas.openxmlformats.org/officeDocument/2006/relationships/hyperlink" Target="https://www.newyork-demographics.com/putnam-county-demographics" TargetMode="External"/><Relationship Id="rId32" Type="http://schemas.openxmlformats.org/officeDocument/2006/relationships/hyperlink" Target="https://www.newyork-demographics.com/madison-county-demographics" TargetMode="External"/><Relationship Id="rId37" Type="http://schemas.openxmlformats.org/officeDocument/2006/relationships/hyperlink" Target="https://www.newyork-demographics.com/columbia-county-demographics" TargetMode="External"/><Relationship Id="rId40" Type="http://schemas.openxmlformats.org/officeDocument/2006/relationships/hyperlink" Target="https://www.newyork-demographics.com/fulton-county-demographics" TargetMode="External"/><Relationship Id="rId45" Type="http://schemas.openxmlformats.org/officeDocument/2006/relationships/hyperlink" Target="https://www.newyork-demographics.com/chenango-county-demographics" TargetMode="External"/><Relationship Id="rId53" Type="http://schemas.openxmlformats.org/officeDocument/2006/relationships/hyperlink" Target="https://www.newyork-demographics.com/schoharie-county-demographics" TargetMode="External"/><Relationship Id="rId58" Type="http://schemas.openxmlformats.org/officeDocument/2006/relationships/table" Target="../tables/table32.xml"/><Relationship Id="rId5" Type="http://schemas.openxmlformats.org/officeDocument/2006/relationships/hyperlink" Target="https://www.newyork-demographics.com/monroe-county-demographics" TargetMode="External"/><Relationship Id="rId19" Type="http://schemas.openxmlformats.org/officeDocument/2006/relationships/hyperlink" Target="https://www.newyork-demographics.com/chautauqua-county-demographics" TargetMode="External"/><Relationship Id="rId4" Type="http://schemas.openxmlformats.org/officeDocument/2006/relationships/hyperlink" Target="https://www.newyork-demographics.com/erie-county-demographics" TargetMode="External"/><Relationship Id="rId9" Type="http://schemas.openxmlformats.org/officeDocument/2006/relationships/hyperlink" Target="https://www.newyork-demographics.com/rockland-county-demographics" TargetMode="External"/><Relationship Id="rId14" Type="http://schemas.openxmlformats.org/officeDocument/2006/relationships/hyperlink" Target="https://www.newyork-demographics.com/niagara-county-demographics" TargetMode="External"/><Relationship Id="rId22" Type="http://schemas.openxmlformats.org/officeDocument/2006/relationships/hyperlink" Target="https://www.newyork-demographics.com/ontario-county-demographics" TargetMode="External"/><Relationship Id="rId27" Type="http://schemas.openxmlformats.org/officeDocument/2006/relationships/hyperlink" Target="https://www.newyork-demographics.com/chemung-county-demographics" TargetMode="External"/><Relationship Id="rId30" Type="http://schemas.openxmlformats.org/officeDocument/2006/relationships/hyperlink" Target="https://www.newyork-demographics.com/cattaraugus-county-demographics" TargetMode="External"/><Relationship Id="rId35" Type="http://schemas.openxmlformats.org/officeDocument/2006/relationships/hyperlink" Target="https://www.newyork-demographics.com/herkimer-county-demographics" TargetMode="External"/><Relationship Id="rId43" Type="http://schemas.openxmlformats.org/officeDocument/2006/relationships/hyperlink" Target="https://www.newyork-demographics.com/tioga-county-demographics" TargetMode="External"/><Relationship Id="rId48" Type="http://schemas.openxmlformats.org/officeDocument/2006/relationships/hyperlink" Target="https://www.newyork-demographics.com/delaware-county-demographics" TargetMode="External"/><Relationship Id="rId56" Type="http://schemas.openxmlformats.org/officeDocument/2006/relationships/hyperlink" Target="https://www.newyork-demographics.com/schuyler-county-demographics" TargetMode="External"/><Relationship Id="rId8" Type="http://schemas.openxmlformats.org/officeDocument/2006/relationships/hyperlink" Target="https://www.newyork-demographics.com/orange-county-demographics" TargetMode="External"/><Relationship Id="rId51" Type="http://schemas.openxmlformats.org/officeDocument/2006/relationships/hyperlink" Target="https://www.newyork-demographics.com/essex-county-demographics" TargetMode="External"/><Relationship Id="rId3" Type="http://schemas.openxmlformats.org/officeDocument/2006/relationships/hyperlink" Target="https://www.newyork-demographics.com/westchester-county-demographics" TargetMode="External"/><Relationship Id="rId12" Type="http://schemas.openxmlformats.org/officeDocument/2006/relationships/hyperlink" Target="https://www.newyork-demographics.com/saratoga-county-demographics" TargetMode="External"/><Relationship Id="rId17" Type="http://schemas.openxmlformats.org/officeDocument/2006/relationships/hyperlink" Target="https://www.newyork-demographics.com/rensselaer-county-demographics" TargetMode="External"/><Relationship Id="rId25" Type="http://schemas.openxmlformats.org/officeDocument/2006/relationships/hyperlink" Target="https://www.newyork-demographics.com/steuben-county-demographics" TargetMode="External"/><Relationship Id="rId33" Type="http://schemas.openxmlformats.org/officeDocument/2006/relationships/hyperlink" Target="https://www.newyork-demographics.com/warren-county-demographics" TargetMode="External"/><Relationship Id="rId38" Type="http://schemas.openxmlformats.org/officeDocument/2006/relationships/hyperlink" Target="https://www.newyork-demographics.com/otsego-county-demographics" TargetMode="External"/><Relationship Id="rId46" Type="http://schemas.openxmlformats.org/officeDocument/2006/relationships/hyperlink" Target="https://www.newyork-demographics.com/greene-county-demographics" TargetMode="External"/><Relationship Id="rId59" Type="http://schemas.openxmlformats.org/officeDocument/2006/relationships/table" Target="../tables/table33.xml"/><Relationship Id="rId20" Type="http://schemas.openxmlformats.org/officeDocument/2006/relationships/hyperlink" Target="https://www.newyork-demographics.com/oswego-county-demographics" TargetMode="External"/><Relationship Id="rId41" Type="http://schemas.openxmlformats.org/officeDocument/2006/relationships/hyperlink" Target="https://www.newyork-demographics.com/franklin-county-demographics" TargetMode="External"/><Relationship Id="rId54" Type="http://schemas.openxmlformats.org/officeDocument/2006/relationships/hyperlink" Target="https://www.newyork-demographics.com/lewis-county-demographics" TargetMode="External"/><Relationship Id="rId1" Type="http://schemas.openxmlformats.org/officeDocument/2006/relationships/hyperlink" Target="https://www.newyork-demographics.com/suffolk-county-demographics" TargetMode="External"/><Relationship Id="rId6" Type="http://schemas.openxmlformats.org/officeDocument/2006/relationships/hyperlink" Target="https://www.newyork-demographics.com/richmond-county-demographics" TargetMode="External"/><Relationship Id="rId15" Type="http://schemas.openxmlformats.org/officeDocument/2006/relationships/hyperlink" Target="https://www.newyork-demographics.com/broome-county-demographics" TargetMode="External"/><Relationship Id="rId23" Type="http://schemas.openxmlformats.org/officeDocument/2006/relationships/hyperlink" Target="https://www.newyork-demographics.com/tompkins-county-demographics" TargetMode="External"/><Relationship Id="rId28" Type="http://schemas.openxmlformats.org/officeDocument/2006/relationships/hyperlink" Target="https://www.newyork-demographics.com/clinton-county-demographics" TargetMode="External"/><Relationship Id="rId36" Type="http://schemas.openxmlformats.org/officeDocument/2006/relationships/hyperlink" Target="https://www.newyork-demographics.com/washington-county-demographics" TargetMode="External"/><Relationship Id="rId49" Type="http://schemas.openxmlformats.org/officeDocument/2006/relationships/hyperlink" Target="https://www.newyork-demographics.com/orleans-county-demographics" TargetMode="External"/><Relationship Id="rId57" Type="http://schemas.openxmlformats.org/officeDocument/2006/relationships/hyperlink" Target="https://www.newyork-demographics.com/hamilton-county-demographics" TargetMode="External"/><Relationship Id="rId10" Type="http://schemas.openxmlformats.org/officeDocument/2006/relationships/hyperlink" Target="https://www.newyork-demographics.com/albany-county-demographics" TargetMode="External"/><Relationship Id="rId31" Type="http://schemas.openxmlformats.org/officeDocument/2006/relationships/hyperlink" Target="https://www.newyork-demographics.com/sullivan-county-demographics" TargetMode="External"/><Relationship Id="rId44" Type="http://schemas.openxmlformats.org/officeDocument/2006/relationships/hyperlink" Target="https://www.newyork-demographics.com/cortland-county-demographics" TargetMode="External"/><Relationship Id="rId52" Type="http://schemas.openxmlformats.org/officeDocument/2006/relationships/hyperlink" Target="https://www.newyork-demographics.com/seneca-county-demographics" TargetMode="External"/><Relationship Id="rId60" Type="http://schemas.openxmlformats.org/officeDocument/2006/relationships/table" Target="../tables/table34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orthcarolina-demographics.com/henderson-county-demographics" TargetMode="External"/><Relationship Id="rId21" Type="http://schemas.openxmlformats.org/officeDocument/2006/relationships/hyperlink" Target="https://www.northcarolina-demographics.com/rowan-county-demographics" TargetMode="External"/><Relationship Id="rId42" Type="http://schemas.openxmlformats.org/officeDocument/2006/relationships/hyperlink" Target="https://www.northcarolina-demographics.com/sampson-county-demographics" TargetMode="External"/><Relationship Id="rId47" Type="http://schemas.openxmlformats.org/officeDocument/2006/relationships/hyperlink" Target="https://www.northcarolina-demographics.com/granville-county-demographics" TargetMode="External"/><Relationship Id="rId63" Type="http://schemas.openxmlformats.org/officeDocument/2006/relationships/hyperlink" Target="https://www.northcarolina-demographics.com/person-county-demographics" TargetMode="External"/><Relationship Id="rId68" Type="http://schemas.openxmlformats.org/officeDocument/2006/relationships/hyperlink" Target="https://www.northcarolina-demographics.com/scotland-county-demographics" TargetMode="External"/><Relationship Id="rId84" Type="http://schemas.openxmlformats.org/officeDocument/2006/relationships/hyperlink" Target="https://www.northcarolina-demographics.com/bertie-county-demographics" TargetMode="External"/><Relationship Id="rId89" Type="http://schemas.openxmlformats.org/officeDocument/2006/relationships/hyperlink" Target="https://www.northcarolina-demographics.com/chowan-county-demographics" TargetMode="External"/><Relationship Id="rId16" Type="http://schemas.openxmlformats.org/officeDocument/2006/relationships/hyperlink" Target="https://www.northcarolina-demographics.com/davidson-county-demographics" TargetMode="External"/><Relationship Id="rId11" Type="http://schemas.openxmlformats.org/officeDocument/2006/relationships/hyperlink" Target="https://www.northcarolina-demographics.com/cabarrus-county-demographics" TargetMode="External"/><Relationship Id="rId32" Type="http://schemas.openxmlformats.org/officeDocument/2006/relationships/hyperlink" Target="https://www.northcarolina-demographics.com/burke-county-demographics" TargetMode="External"/><Relationship Id="rId37" Type="http://schemas.openxmlformats.org/officeDocument/2006/relationships/hyperlink" Target="https://www.northcarolina-demographics.com/surry-county-demographics" TargetMode="External"/><Relationship Id="rId53" Type="http://schemas.openxmlformats.org/officeDocument/2006/relationships/hyperlink" Target="https://www.northcarolina-demographics.com/edgecombe-county-demographics" TargetMode="External"/><Relationship Id="rId58" Type="http://schemas.openxmlformats.org/officeDocument/2006/relationships/hyperlink" Target="https://www.northcarolina-demographics.com/richmond-county-demographics" TargetMode="External"/><Relationship Id="rId74" Type="http://schemas.openxmlformats.org/officeDocument/2006/relationships/hyperlink" Target="https://www.northcarolina-demographics.com/ashe-county-demographics" TargetMode="External"/><Relationship Id="rId79" Type="http://schemas.openxmlformats.org/officeDocument/2006/relationships/hyperlink" Target="https://www.northcarolina-demographics.com/madison-county-demographics" TargetMode="External"/><Relationship Id="rId102" Type="http://schemas.openxmlformats.org/officeDocument/2006/relationships/table" Target="../tables/table36.xml"/><Relationship Id="rId5" Type="http://schemas.openxmlformats.org/officeDocument/2006/relationships/hyperlink" Target="https://www.northcarolina-demographics.com/cumberland-county-demographics" TargetMode="External"/><Relationship Id="rId90" Type="http://schemas.openxmlformats.org/officeDocument/2006/relationships/hyperlink" Target="https://www.northcarolina-demographics.com/perquimans-county-demographics" TargetMode="External"/><Relationship Id="rId95" Type="http://schemas.openxmlformats.org/officeDocument/2006/relationships/hyperlink" Target="https://www.northcarolina-demographics.com/alleghany-county-demographics" TargetMode="External"/><Relationship Id="rId22" Type="http://schemas.openxmlformats.org/officeDocument/2006/relationships/hyperlink" Target="https://www.northcarolina-demographics.com/brunswick-county-demographics" TargetMode="External"/><Relationship Id="rId27" Type="http://schemas.openxmlformats.org/officeDocument/2006/relationships/hyperlink" Target="https://www.northcarolina-demographics.com/craven-county-demographics" TargetMode="External"/><Relationship Id="rId43" Type="http://schemas.openxmlformats.org/officeDocument/2006/relationships/hyperlink" Target="https://www.northcarolina-demographics.com/stanly-county-demographics" TargetMode="External"/><Relationship Id="rId48" Type="http://schemas.openxmlformats.org/officeDocument/2006/relationships/hyperlink" Target="https://www.northcarolina-demographics.com/duplin-county-demographics" TargetMode="External"/><Relationship Id="rId64" Type="http://schemas.openxmlformats.org/officeDocument/2006/relationships/hyperlink" Target="https://www.northcarolina-demographics.com/yadkin-county-demographics" TargetMode="External"/><Relationship Id="rId69" Type="http://schemas.openxmlformats.org/officeDocument/2006/relationships/hyperlink" Target="https://www.northcarolina-demographics.com/transylvania-county-demographics" TargetMode="External"/><Relationship Id="rId80" Type="http://schemas.openxmlformats.org/officeDocument/2006/relationships/hyperlink" Target="https://www.northcarolina-demographics.com/greene-county-demographics" TargetMode="External"/><Relationship Id="rId85" Type="http://schemas.openxmlformats.org/officeDocument/2006/relationships/hyperlink" Target="https://www.northcarolina-demographics.com/yancey-county-demographics" TargetMode="External"/><Relationship Id="rId12" Type="http://schemas.openxmlformats.org/officeDocument/2006/relationships/hyperlink" Target="https://www.northcarolina-demographics.com/johnston-county-demographics" TargetMode="External"/><Relationship Id="rId17" Type="http://schemas.openxmlformats.org/officeDocument/2006/relationships/hyperlink" Target="https://www.northcarolina-demographics.com/alamance-county-demographics" TargetMode="External"/><Relationship Id="rId25" Type="http://schemas.openxmlformats.org/officeDocument/2006/relationships/hyperlink" Target="https://www.northcarolina-demographics.com/wayne-county-demographics" TargetMode="External"/><Relationship Id="rId33" Type="http://schemas.openxmlformats.org/officeDocument/2006/relationships/hyperlink" Target="https://www.northcarolina-demographics.com/lincoln-county-demographics" TargetMode="External"/><Relationship Id="rId38" Type="http://schemas.openxmlformats.org/officeDocument/2006/relationships/hyperlink" Target="https://www.northcarolina-demographics.com/carteret-county-demographics" TargetMode="External"/><Relationship Id="rId46" Type="http://schemas.openxmlformats.org/officeDocument/2006/relationships/hyperlink" Target="https://www.northcarolina-demographics.com/lee-county-demographics" TargetMode="External"/><Relationship Id="rId59" Type="http://schemas.openxmlformats.org/officeDocument/2006/relationships/hyperlink" Target="https://www.northcarolina-demographics.com/vance-county-demographics" TargetMode="External"/><Relationship Id="rId67" Type="http://schemas.openxmlformats.org/officeDocument/2006/relationships/hyperlink" Target="https://www.northcarolina-demographics.com/macon-county-demographics" TargetMode="External"/><Relationship Id="rId103" Type="http://schemas.openxmlformats.org/officeDocument/2006/relationships/table" Target="../tables/table37.xml"/><Relationship Id="rId20" Type="http://schemas.openxmlformats.org/officeDocument/2006/relationships/hyperlink" Target="https://www.northcarolina-demographics.com/randolph-county-demographics" TargetMode="External"/><Relationship Id="rId41" Type="http://schemas.openxmlformats.org/officeDocument/2006/relationships/hyperlink" Target="https://www.northcarolina-demographics.com/rutherford-county-demographics" TargetMode="External"/><Relationship Id="rId54" Type="http://schemas.openxmlformats.org/officeDocument/2006/relationships/hyperlink" Target="https://www.northcarolina-demographics.com/halifax-county-demographics" TargetMode="External"/><Relationship Id="rId62" Type="http://schemas.openxmlformats.org/officeDocument/2006/relationships/hyperlink" Target="https://www.northcarolina-demographics.com/pasquotank-county-demographics" TargetMode="External"/><Relationship Id="rId70" Type="http://schemas.openxmlformats.org/officeDocument/2006/relationships/hyperlink" Target="https://www.northcarolina-demographics.com/bladen-county-demographics" TargetMode="External"/><Relationship Id="rId75" Type="http://schemas.openxmlformats.org/officeDocument/2006/relationships/hyperlink" Target="https://www.northcarolina-demographics.com/anson-county-demographics" TargetMode="External"/><Relationship Id="rId83" Type="http://schemas.openxmlformats.org/officeDocument/2006/relationships/hyperlink" Target="https://www.northcarolina-demographics.com/northampton-county-demographics" TargetMode="External"/><Relationship Id="rId88" Type="http://schemas.openxmlformats.org/officeDocument/2006/relationships/hyperlink" Target="https://www.northcarolina-demographics.com/swain-county-demographics" TargetMode="External"/><Relationship Id="rId91" Type="http://schemas.openxmlformats.org/officeDocument/2006/relationships/hyperlink" Target="https://www.northcarolina-demographics.com/pamlico-county-demographics" TargetMode="External"/><Relationship Id="rId96" Type="http://schemas.openxmlformats.org/officeDocument/2006/relationships/hyperlink" Target="https://www.northcarolina-demographics.com/camden-county-demographics" TargetMode="External"/><Relationship Id="rId1" Type="http://schemas.openxmlformats.org/officeDocument/2006/relationships/hyperlink" Target="https://www.northcarolina-demographics.com/mecklenburg-county-demographics" TargetMode="External"/><Relationship Id="rId6" Type="http://schemas.openxmlformats.org/officeDocument/2006/relationships/hyperlink" Target="https://www.northcarolina-demographics.com/durham-county-demographics" TargetMode="External"/><Relationship Id="rId15" Type="http://schemas.openxmlformats.org/officeDocument/2006/relationships/hyperlink" Target="https://www.northcarolina-demographics.com/iredell-county-demographics" TargetMode="External"/><Relationship Id="rId23" Type="http://schemas.openxmlformats.org/officeDocument/2006/relationships/hyperlink" Target="https://www.northcarolina-demographics.com/harnett-county-demographics" TargetMode="External"/><Relationship Id="rId28" Type="http://schemas.openxmlformats.org/officeDocument/2006/relationships/hyperlink" Target="https://www.northcarolina-demographics.com/moore-county-demographics" TargetMode="External"/><Relationship Id="rId36" Type="http://schemas.openxmlformats.org/officeDocument/2006/relationships/hyperlink" Target="https://www.northcarolina-demographics.com/chatham-county-demographics" TargetMode="External"/><Relationship Id="rId49" Type="http://schemas.openxmlformats.org/officeDocument/2006/relationships/hyperlink" Target="https://www.northcarolina-demographics.com/lenoir-county-demographics" TargetMode="External"/><Relationship Id="rId57" Type="http://schemas.openxmlformats.org/officeDocument/2006/relationships/hyperlink" Target="https://www.northcarolina-demographics.com/mcdowell-county-demographics" TargetMode="External"/><Relationship Id="rId10" Type="http://schemas.openxmlformats.org/officeDocument/2006/relationships/hyperlink" Target="https://www.northcarolina-demographics.com/gaston-county-demographics" TargetMode="External"/><Relationship Id="rId31" Type="http://schemas.openxmlformats.org/officeDocument/2006/relationships/hyperlink" Target="https://www.northcarolina-demographics.com/rockingham-county-demographics" TargetMode="External"/><Relationship Id="rId44" Type="http://schemas.openxmlformats.org/officeDocument/2006/relationships/hyperlink" Target="https://www.northcarolina-demographics.com/pender-county-demographics" TargetMode="External"/><Relationship Id="rId52" Type="http://schemas.openxmlformats.org/officeDocument/2006/relationships/hyperlink" Target="https://www.northcarolina-demographics.com/hoke-county-demographics" TargetMode="External"/><Relationship Id="rId60" Type="http://schemas.openxmlformats.org/officeDocument/2006/relationships/hyperlink" Target="https://www.northcarolina-demographics.com/jackson-county-demographics" TargetMode="External"/><Relationship Id="rId65" Type="http://schemas.openxmlformats.org/officeDocument/2006/relationships/hyperlink" Target="https://www.northcarolina-demographics.com/alexander-county-demographics" TargetMode="External"/><Relationship Id="rId73" Type="http://schemas.openxmlformats.org/officeDocument/2006/relationships/hyperlink" Target="https://www.northcarolina-demographics.com/currituck-county-demographics" TargetMode="External"/><Relationship Id="rId78" Type="http://schemas.openxmlformats.org/officeDocument/2006/relationships/hyperlink" Target="https://www.northcarolina-demographics.com/caswell-county-demographics" TargetMode="External"/><Relationship Id="rId81" Type="http://schemas.openxmlformats.org/officeDocument/2006/relationships/hyperlink" Target="https://www.northcarolina-demographics.com/polk-county-demographics" TargetMode="External"/><Relationship Id="rId86" Type="http://schemas.openxmlformats.org/officeDocument/2006/relationships/hyperlink" Target="https://www.northcarolina-demographics.com/avery-county-demographics" TargetMode="External"/><Relationship Id="rId94" Type="http://schemas.openxmlformats.org/officeDocument/2006/relationships/hyperlink" Target="https://www.northcarolina-demographics.com/clay-county-demographics" TargetMode="External"/><Relationship Id="rId99" Type="http://schemas.openxmlformats.org/officeDocument/2006/relationships/hyperlink" Target="https://www.northcarolina-demographics.com/hyde-county-demographics" TargetMode="External"/><Relationship Id="rId101" Type="http://schemas.openxmlformats.org/officeDocument/2006/relationships/table" Target="../tables/table35.xml"/><Relationship Id="rId4" Type="http://schemas.openxmlformats.org/officeDocument/2006/relationships/hyperlink" Target="https://www.northcarolina-demographics.com/forsyth-county-demographics" TargetMode="External"/><Relationship Id="rId9" Type="http://schemas.openxmlformats.org/officeDocument/2006/relationships/hyperlink" Target="https://www.northcarolina-demographics.com/new-hanover-county-demographics" TargetMode="External"/><Relationship Id="rId13" Type="http://schemas.openxmlformats.org/officeDocument/2006/relationships/hyperlink" Target="https://www.northcarolina-demographics.com/onslow-county-demographics" TargetMode="External"/><Relationship Id="rId18" Type="http://schemas.openxmlformats.org/officeDocument/2006/relationships/hyperlink" Target="https://www.northcarolina-demographics.com/catawba-county-demographics" TargetMode="External"/><Relationship Id="rId39" Type="http://schemas.openxmlformats.org/officeDocument/2006/relationships/hyperlink" Target="https://www.northcarolina-demographics.com/wilkes-county-demographics" TargetMode="External"/><Relationship Id="rId34" Type="http://schemas.openxmlformats.org/officeDocument/2006/relationships/hyperlink" Target="https://www.northcarolina-demographics.com/caldwell-county-demographics" TargetMode="External"/><Relationship Id="rId50" Type="http://schemas.openxmlformats.org/officeDocument/2006/relationships/hyperlink" Target="https://www.northcarolina-demographics.com/watauga-county-demographics" TargetMode="External"/><Relationship Id="rId55" Type="http://schemas.openxmlformats.org/officeDocument/2006/relationships/hyperlink" Target="https://www.northcarolina-demographics.com/beaufort-county-demographics" TargetMode="External"/><Relationship Id="rId76" Type="http://schemas.openxmlformats.org/officeDocument/2006/relationships/hyperlink" Target="https://www.northcarolina-demographics.com/hertford-county-demographics" TargetMode="External"/><Relationship Id="rId97" Type="http://schemas.openxmlformats.org/officeDocument/2006/relationships/hyperlink" Target="https://www.northcarolina-demographics.com/jones-county-demographics" TargetMode="External"/><Relationship Id="rId7" Type="http://schemas.openxmlformats.org/officeDocument/2006/relationships/hyperlink" Target="https://www.northcarolina-demographics.com/buncombe-county-demographics" TargetMode="External"/><Relationship Id="rId71" Type="http://schemas.openxmlformats.org/officeDocument/2006/relationships/hyperlink" Target="https://www.northcarolina-demographics.com/cherokee-county-demographics" TargetMode="External"/><Relationship Id="rId92" Type="http://schemas.openxmlformats.org/officeDocument/2006/relationships/hyperlink" Target="https://www.northcarolina-demographics.com/washington-county-demographics" TargetMode="External"/><Relationship Id="rId2" Type="http://schemas.openxmlformats.org/officeDocument/2006/relationships/hyperlink" Target="https://www.northcarolina-demographics.com/wake-county-demographics" TargetMode="External"/><Relationship Id="rId29" Type="http://schemas.openxmlformats.org/officeDocument/2006/relationships/hyperlink" Target="https://www.northcarolina-demographics.com/cleveland-county-demographics" TargetMode="External"/><Relationship Id="rId24" Type="http://schemas.openxmlformats.org/officeDocument/2006/relationships/hyperlink" Target="https://www.northcarolina-demographics.com/robeson-county-demographics" TargetMode="External"/><Relationship Id="rId40" Type="http://schemas.openxmlformats.org/officeDocument/2006/relationships/hyperlink" Target="https://www.northcarolina-demographics.com/franklin-county-demographics" TargetMode="External"/><Relationship Id="rId45" Type="http://schemas.openxmlformats.org/officeDocument/2006/relationships/hyperlink" Target="https://www.northcarolina-demographics.com/haywood-county-demographics" TargetMode="External"/><Relationship Id="rId66" Type="http://schemas.openxmlformats.org/officeDocument/2006/relationships/hyperlink" Target="https://www.northcarolina-demographics.com/dare-county-demographics" TargetMode="External"/><Relationship Id="rId87" Type="http://schemas.openxmlformats.org/officeDocument/2006/relationships/hyperlink" Target="https://www.northcarolina-demographics.com/mitchell-county-demographics" TargetMode="External"/><Relationship Id="rId61" Type="http://schemas.openxmlformats.org/officeDocument/2006/relationships/hyperlink" Target="https://www.northcarolina-demographics.com/davie-county-demographics" TargetMode="External"/><Relationship Id="rId82" Type="http://schemas.openxmlformats.org/officeDocument/2006/relationships/hyperlink" Target="https://www.northcarolina-demographics.com/warren-county-demographics" TargetMode="External"/><Relationship Id="rId19" Type="http://schemas.openxmlformats.org/officeDocument/2006/relationships/hyperlink" Target="https://www.northcarolina-demographics.com/orange-county-demographics" TargetMode="External"/><Relationship Id="rId14" Type="http://schemas.openxmlformats.org/officeDocument/2006/relationships/hyperlink" Target="https://www.northcarolina-demographics.com/pitt-county-demographics" TargetMode="External"/><Relationship Id="rId30" Type="http://schemas.openxmlformats.org/officeDocument/2006/relationships/hyperlink" Target="https://www.northcarolina-demographics.com/nash-county-demographics" TargetMode="External"/><Relationship Id="rId35" Type="http://schemas.openxmlformats.org/officeDocument/2006/relationships/hyperlink" Target="https://www.northcarolina-demographics.com/wilson-county-demographics" TargetMode="External"/><Relationship Id="rId56" Type="http://schemas.openxmlformats.org/officeDocument/2006/relationships/hyperlink" Target="https://www.northcarolina-demographics.com/stokes-county-demographics" TargetMode="External"/><Relationship Id="rId77" Type="http://schemas.openxmlformats.org/officeDocument/2006/relationships/hyperlink" Target="https://www.northcarolina-demographics.com/martin-county-demographics" TargetMode="External"/><Relationship Id="rId100" Type="http://schemas.openxmlformats.org/officeDocument/2006/relationships/hyperlink" Target="https://www.northcarolina-demographics.com/tyrrell-county-demographics" TargetMode="External"/><Relationship Id="rId8" Type="http://schemas.openxmlformats.org/officeDocument/2006/relationships/hyperlink" Target="https://www.northcarolina-demographics.com/union-county-demographics" TargetMode="External"/><Relationship Id="rId51" Type="http://schemas.openxmlformats.org/officeDocument/2006/relationships/hyperlink" Target="https://www.northcarolina-demographics.com/columbus-county-demographics" TargetMode="External"/><Relationship Id="rId72" Type="http://schemas.openxmlformats.org/officeDocument/2006/relationships/hyperlink" Target="https://www.northcarolina-demographics.com/montgomery-county-demographics" TargetMode="External"/><Relationship Id="rId93" Type="http://schemas.openxmlformats.org/officeDocument/2006/relationships/hyperlink" Target="https://www.northcarolina-demographics.com/gates-county-demographics" TargetMode="External"/><Relationship Id="rId98" Type="http://schemas.openxmlformats.org/officeDocument/2006/relationships/hyperlink" Target="https://www.northcarolina-demographics.com/graham-county-demographics" TargetMode="External"/><Relationship Id="rId3" Type="http://schemas.openxmlformats.org/officeDocument/2006/relationships/hyperlink" Target="https://www.northcarolina-demographics.com/guilford-county-demographics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orthdakota-demographics.com/walsh-county-demographics" TargetMode="External"/><Relationship Id="rId18" Type="http://schemas.openxmlformats.org/officeDocument/2006/relationships/hyperlink" Target="https://www.northdakota-demographics.com/traill-county-demographics" TargetMode="External"/><Relationship Id="rId26" Type="http://schemas.openxmlformats.org/officeDocument/2006/relationships/hyperlink" Target="https://www.northdakota-demographics.com/sioux-county-demographics" TargetMode="External"/><Relationship Id="rId39" Type="http://schemas.openxmlformats.org/officeDocument/2006/relationships/hyperlink" Target="https://www.northdakota-demographics.com/renville-county-demographics" TargetMode="External"/><Relationship Id="rId21" Type="http://schemas.openxmlformats.org/officeDocument/2006/relationships/hyperlink" Target="https://www.northdakota-demographics.com/bottineau-county-demographics" TargetMode="External"/><Relationship Id="rId34" Type="http://schemas.openxmlformats.org/officeDocument/2006/relationships/hyperlink" Target="https://www.northdakota-demographics.com/bowman-county-demographics" TargetMode="External"/><Relationship Id="rId42" Type="http://schemas.openxmlformats.org/officeDocument/2006/relationships/hyperlink" Target="https://www.northdakota-demographics.com/divide-county-demographics" TargetMode="External"/><Relationship Id="rId47" Type="http://schemas.openxmlformats.org/officeDocument/2006/relationships/hyperlink" Target="https://www.northdakota-demographics.com/oliver-county-demographics" TargetMode="External"/><Relationship Id="rId50" Type="http://schemas.openxmlformats.org/officeDocument/2006/relationships/hyperlink" Target="https://www.northdakota-demographics.com/logan-county-demographics" TargetMode="External"/><Relationship Id="rId55" Type="http://schemas.openxmlformats.org/officeDocument/2006/relationships/table" Target="../tables/table39.xml"/><Relationship Id="rId7" Type="http://schemas.openxmlformats.org/officeDocument/2006/relationships/hyperlink" Target="https://www.northdakota-demographics.com/morton-county-demographics" TargetMode="External"/><Relationship Id="rId2" Type="http://schemas.openxmlformats.org/officeDocument/2006/relationships/hyperlink" Target="https://www.northdakota-demographics.com/burleigh-county-demographics" TargetMode="External"/><Relationship Id="rId16" Type="http://schemas.openxmlformats.org/officeDocument/2006/relationships/hyperlink" Target="https://www.northdakota-demographics.com/mclean-county-demographics" TargetMode="External"/><Relationship Id="rId29" Type="http://schemas.openxmlformats.org/officeDocument/2006/relationships/hyperlink" Target="https://www.northdakota-demographics.com/sargent-county-demographics" TargetMode="External"/><Relationship Id="rId11" Type="http://schemas.openxmlformats.org/officeDocument/2006/relationships/hyperlink" Target="https://www.northdakota-demographics.com/mckenzie-county-demographics" TargetMode="External"/><Relationship Id="rId24" Type="http://schemas.openxmlformats.org/officeDocument/2006/relationships/hyperlink" Target="https://www.northdakota-demographics.com/dickey-county-demographics" TargetMode="External"/><Relationship Id="rId32" Type="http://schemas.openxmlformats.org/officeDocument/2006/relationships/hyperlink" Target="https://www.northdakota-demographics.com/emmons-county-demographics" TargetMode="External"/><Relationship Id="rId37" Type="http://schemas.openxmlformats.org/officeDocument/2006/relationships/hyperlink" Target="https://www.northdakota-demographics.com/hettinger-county-demographics" TargetMode="External"/><Relationship Id="rId40" Type="http://schemas.openxmlformats.org/officeDocument/2006/relationships/hyperlink" Target="https://www.northdakota-demographics.com/grant-county-demographics" TargetMode="External"/><Relationship Id="rId45" Type="http://schemas.openxmlformats.org/officeDocument/2006/relationships/hyperlink" Target="https://www.northdakota-demographics.com/towner-county-demographics" TargetMode="External"/><Relationship Id="rId53" Type="http://schemas.openxmlformats.org/officeDocument/2006/relationships/hyperlink" Target="https://www.northdakota-demographics.com/slope-county-demographics" TargetMode="External"/><Relationship Id="rId5" Type="http://schemas.openxmlformats.org/officeDocument/2006/relationships/hyperlink" Target="https://www.northdakota-demographics.com/williams-county-demographics" TargetMode="External"/><Relationship Id="rId10" Type="http://schemas.openxmlformats.org/officeDocument/2006/relationships/hyperlink" Target="https://www.northdakota-demographics.com/rolette-county-demographics" TargetMode="External"/><Relationship Id="rId19" Type="http://schemas.openxmlformats.org/officeDocument/2006/relationships/hyperlink" Target="https://www.northdakota-demographics.com/benson-county-demographics" TargetMode="External"/><Relationship Id="rId31" Type="http://schemas.openxmlformats.org/officeDocument/2006/relationships/hyperlink" Target="https://www.northdakota-demographics.com/cavalier-county-demographics" TargetMode="External"/><Relationship Id="rId44" Type="http://schemas.openxmlformats.org/officeDocument/2006/relationships/hyperlink" Target="https://www.northdakota-demographics.com/eddy-county-demographics" TargetMode="External"/><Relationship Id="rId52" Type="http://schemas.openxmlformats.org/officeDocument/2006/relationships/hyperlink" Target="https://www.northdakota-demographics.com/billings-county-demographics" TargetMode="External"/><Relationship Id="rId4" Type="http://schemas.openxmlformats.org/officeDocument/2006/relationships/hyperlink" Target="https://www.northdakota-demographics.com/ward-county-demographics" TargetMode="External"/><Relationship Id="rId9" Type="http://schemas.openxmlformats.org/officeDocument/2006/relationships/hyperlink" Target="https://www.northdakota-demographics.com/richland-county-demographics" TargetMode="External"/><Relationship Id="rId14" Type="http://schemas.openxmlformats.org/officeDocument/2006/relationships/hyperlink" Target="https://www.northdakota-demographics.com/barnes-county-demographics" TargetMode="External"/><Relationship Id="rId22" Type="http://schemas.openxmlformats.org/officeDocument/2006/relationships/hyperlink" Target="https://www.northdakota-demographics.com/mchenry-county-demographics" TargetMode="External"/><Relationship Id="rId27" Type="http://schemas.openxmlformats.org/officeDocument/2006/relationships/hyperlink" Target="https://www.northdakota-demographics.com/lamoure-county-demographics" TargetMode="External"/><Relationship Id="rId30" Type="http://schemas.openxmlformats.org/officeDocument/2006/relationships/hyperlink" Target="https://www.northdakota-demographics.com/wells-county-demographics" TargetMode="External"/><Relationship Id="rId35" Type="http://schemas.openxmlformats.org/officeDocument/2006/relationships/hyperlink" Target="https://www.northdakota-demographics.com/nelson-county-demographics" TargetMode="External"/><Relationship Id="rId43" Type="http://schemas.openxmlformats.org/officeDocument/2006/relationships/hyperlink" Target="https://www.northdakota-demographics.com/adams-county-demographics" TargetMode="External"/><Relationship Id="rId48" Type="http://schemas.openxmlformats.org/officeDocument/2006/relationships/hyperlink" Target="https://www.northdakota-demographics.com/steele-county-demographics" TargetMode="External"/><Relationship Id="rId56" Type="http://schemas.openxmlformats.org/officeDocument/2006/relationships/table" Target="../tables/table40.xml"/><Relationship Id="rId8" Type="http://schemas.openxmlformats.org/officeDocument/2006/relationships/hyperlink" Target="https://www.northdakota-demographics.com/stutsman-county-demographics" TargetMode="External"/><Relationship Id="rId51" Type="http://schemas.openxmlformats.org/officeDocument/2006/relationships/hyperlink" Target="https://www.northdakota-demographics.com/sheridan-county-demographics" TargetMode="External"/><Relationship Id="rId3" Type="http://schemas.openxmlformats.org/officeDocument/2006/relationships/hyperlink" Target="https://www.northdakota-demographics.com/grand-forks-county-demographics" TargetMode="External"/><Relationship Id="rId12" Type="http://schemas.openxmlformats.org/officeDocument/2006/relationships/hyperlink" Target="https://www.northdakota-demographics.com/ramsey-county-demographics" TargetMode="External"/><Relationship Id="rId17" Type="http://schemas.openxmlformats.org/officeDocument/2006/relationships/hyperlink" Target="https://www.northdakota-demographics.com/mercer-county-demographics" TargetMode="External"/><Relationship Id="rId25" Type="http://schemas.openxmlformats.org/officeDocument/2006/relationships/hyperlink" Target="https://www.northdakota-demographics.com/dunn-county-demographics" TargetMode="External"/><Relationship Id="rId33" Type="http://schemas.openxmlformats.org/officeDocument/2006/relationships/hyperlink" Target="https://www.northdakota-demographics.com/foster-county-demographics" TargetMode="External"/><Relationship Id="rId38" Type="http://schemas.openxmlformats.org/officeDocument/2006/relationships/hyperlink" Target="https://www.northdakota-demographics.com/kidder-county-demographics" TargetMode="External"/><Relationship Id="rId46" Type="http://schemas.openxmlformats.org/officeDocument/2006/relationships/hyperlink" Target="https://www.northdakota-demographics.com/burke-county-demographics" TargetMode="External"/><Relationship Id="rId20" Type="http://schemas.openxmlformats.org/officeDocument/2006/relationships/hyperlink" Target="https://www.northdakota-demographics.com/pembina-county-demographics" TargetMode="External"/><Relationship Id="rId41" Type="http://schemas.openxmlformats.org/officeDocument/2006/relationships/hyperlink" Target="https://www.northdakota-demographics.com/griggs-county-demographics" TargetMode="External"/><Relationship Id="rId54" Type="http://schemas.openxmlformats.org/officeDocument/2006/relationships/table" Target="../tables/table38.xml"/><Relationship Id="rId1" Type="http://schemas.openxmlformats.org/officeDocument/2006/relationships/hyperlink" Target="https://www.northdakota-demographics.com/cass-county-demographics" TargetMode="External"/><Relationship Id="rId6" Type="http://schemas.openxmlformats.org/officeDocument/2006/relationships/hyperlink" Target="https://www.northdakota-demographics.com/stark-county-demographics" TargetMode="External"/><Relationship Id="rId15" Type="http://schemas.openxmlformats.org/officeDocument/2006/relationships/hyperlink" Target="https://www.northdakota-demographics.com/mountrail-county-demographics" TargetMode="External"/><Relationship Id="rId23" Type="http://schemas.openxmlformats.org/officeDocument/2006/relationships/hyperlink" Target="https://www.northdakota-demographics.com/ransom-county-demographics" TargetMode="External"/><Relationship Id="rId28" Type="http://schemas.openxmlformats.org/officeDocument/2006/relationships/hyperlink" Target="https://www.northdakota-demographics.com/pierce-county-demographics" TargetMode="External"/><Relationship Id="rId36" Type="http://schemas.openxmlformats.org/officeDocument/2006/relationships/hyperlink" Target="https://www.northdakota-demographics.com/mcintosh-county-demographics" TargetMode="External"/><Relationship Id="rId49" Type="http://schemas.openxmlformats.org/officeDocument/2006/relationships/hyperlink" Target="https://www.northdakota-demographics.com/golden-valley-county-demographics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hio-demographics.com/allen-county-demographics" TargetMode="External"/><Relationship Id="rId21" Type="http://schemas.openxmlformats.org/officeDocument/2006/relationships/hyperlink" Target="https://www.ohio-demographics.com/clark-county-demographics" TargetMode="External"/><Relationship Id="rId42" Type="http://schemas.openxmlformats.org/officeDocument/2006/relationships/hyperlink" Target="https://www.ohio-demographics.com/lawrence-county-demographics" TargetMode="External"/><Relationship Id="rId47" Type="http://schemas.openxmlformats.org/officeDocument/2006/relationships/hyperlink" Target="https://www.ohio-demographics.com/seneca-county-demographics" TargetMode="External"/><Relationship Id="rId63" Type="http://schemas.openxmlformats.org/officeDocument/2006/relationships/hyperlink" Target="https://www.ohio-demographics.com/guernsey-county-demographics" TargetMode="External"/><Relationship Id="rId68" Type="http://schemas.openxmlformats.org/officeDocument/2006/relationships/hyperlink" Target="https://www.ohio-demographics.com/perry-county-demographics" TargetMode="External"/><Relationship Id="rId84" Type="http://schemas.openxmlformats.org/officeDocument/2006/relationships/hyperlink" Target="https://www.ohio-demographics.com/harrison-county-demographics" TargetMode="External"/><Relationship Id="rId89" Type="http://schemas.openxmlformats.org/officeDocument/2006/relationships/table" Target="../tables/table41.xml"/><Relationship Id="rId16" Type="http://schemas.openxmlformats.org/officeDocument/2006/relationships/hyperlink" Target="https://www.ohio-demographics.com/medina-county-demographics" TargetMode="External"/><Relationship Id="rId11" Type="http://schemas.openxmlformats.org/officeDocument/2006/relationships/hyperlink" Target="https://www.ohio-demographics.com/lake-county-demographics" TargetMode="External"/><Relationship Id="rId32" Type="http://schemas.openxmlformats.org/officeDocument/2006/relationships/hyperlink" Target="https://www.ohio-demographics.com/ross-county-demographics" TargetMode="External"/><Relationship Id="rId37" Type="http://schemas.openxmlformats.org/officeDocument/2006/relationships/hyperlink" Target="https://www.ohio-demographics.com/athens-county-demographics" TargetMode="External"/><Relationship Id="rId53" Type="http://schemas.openxmlformats.org/officeDocument/2006/relationships/hyperlink" Target="https://www.ohio-demographics.com/madison-county-demographics" TargetMode="External"/><Relationship Id="rId58" Type="http://schemas.openxmlformats.org/officeDocument/2006/relationships/hyperlink" Target="https://www.ohio-demographics.com/clinton-county-demographics" TargetMode="External"/><Relationship Id="rId74" Type="http://schemas.openxmlformats.org/officeDocument/2006/relationships/hyperlink" Target="https://www.ohio-demographics.com/fayette-county-demographics" TargetMode="External"/><Relationship Id="rId79" Type="http://schemas.openxmlformats.org/officeDocument/2006/relationships/hyperlink" Target="https://www.ohio-demographics.com/carroll-county-demographics" TargetMode="External"/><Relationship Id="rId5" Type="http://schemas.openxmlformats.org/officeDocument/2006/relationships/hyperlink" Target="https://www.ohio-demographics.com/montgomery-county-demographics" TargetMode="External"/><Relationship Id="rId90" Type="http://schemas.openxmlformats.org/officeDocument/2006/relationships/table" Target="../tables/table42.xml"/><Relationship Id="rId14" Type="http://schemas.openxmlformats.org/officeDocument/2006/relationships/hyperlink" Target="https://www.ohio-demographics.com/delaware-county-demographics" TargetMode="External"/><Relationship Id="rId22" Type="http://schemas.openxmlformats.org/officeDocument/2006/relationships/hyperlink" Target="https://www.ohio-demographics.com/wood-county-demographics" TargetMode="External"/><Relationship Id="rId27" Type="http://schemas.openxmlformats.org/officeDocument/2006/relationships/hyperlink" Target="https://www.ohio-demographics.com/columbiana-county-demographics" TargetMode="External"/><Relationship Id="rId30" Type="http://schemas.openxmlformats.org/officeDocument/2006/relationships/hyperlink" Target="https://www.ohio-demographics.com/tuscarawas-county-demographics" TargetMode="External"/><Relationship Id="rId35" Type="http://schemas.openxmlformats.org/officeDocument/2006/relationships/hyperlink" Target="https://www.ohio-demographics.com/erie-county-demographics" TargetMode="External"/><Relationship Id="rId43" Type="http://schemas.openxmlformats.org/officeDocument/2006/relationships/hyperlink" Target="https://www.ohio-demographics.com/sandusky-county-demographics" TargetMode="External"/><Relationship Id="rId48" Type="http://schemas.openxmlformats.org/officeDocument/2006/relationships/hyperlink" Target="https://www.ohio-demographics.com/ashland-county-demographics" TargetMode="External"/><Relationship Id="rId56" Type="http://schemas.openxmlformats.org/officeDocument/2006/relationships/hyperlink" Target="https://www.ohio-demographics.com/highland-county-demographics" TargetMode="External"/><Relationship Id="rId64" Type="http://schemas.openxmlformats.org/officeDocument/2006/relationships/hyperlink" Target="https://www.ohio-demographics.com/champaign-county-demographics" TargetMode="External"/><Relationship Id="rId69" Type="http://schemas.openxmlformats.org/officeDocument/2006/relationships/hyperlink" Target="https://www.ohio-demographics.com/morrow-county-demographics" TargetMode="External"/><Relationship Id="rId77" Type="http://schemas.openxmlformats.org/officeDocument/2006/relationships/hyperlink" Target="https://www.ohio-demographics.com/pike-county-demographics" TargetMode="External"/><Relationship Id="rId8" Type="http://schemas.openxmlformats.org/officeDocument/2006/relationships/hyperlink" Target="https://www.ohio-demographics.com/stark-county-demographics" TargetMode="External"/><Relationship Id="rId51" Type="http://schemas.openxmlformats.org/officeDocument/2006/relationships/hyperlink" Target="https://www.ohio-demographics.com/auglaize-county-demographics" TargetMode="External"/><Relationship Id="rId72" Type="http://schemas.openxmlformats.org/officeDocument/2006/relationships/hyperlink" Target="https://www.ohio-demographics.com/hardin-county-demographics" TargetMode="External"/><Relationship Id="rId80" Type="http://schemas.openxmlformats.org/officeDocument/2006/relationships/hyperlink" Target="https://www.ohio-demographics.com/henry-county-demographics" TargetMode="External"/><Relationship Id="rId85" Type="http://schemas.openxmlformats.org/officeDocument/2006/relationships/hyperlink" Target="https://www.ohio-demographics.com/morgan-county-demographics" TargetMode="External"/><Relationship Id="rId3" Type="http://schemas.openxmlformats.org/officeDocument/2006/relationships/hyperlink" Target="https://www.ohio-demographics.com/hamilton-county-demographics" TargetMode="External"/><Relationship Id="rId12" Type="http://schemas.openxmlformats.org/officeDocument/2006/relationships/hyperlink" Target="https://www.ohio-demographics.com/mahoning-county-demographics" TargetMode="External"/><Relationship Id="rId17" Type="http://schemas.openxmlformats.org/officeDocument/2006/relationships/hyperlink" Target="https://www.ohio-demographics.com/licking-county-demographics" TargetMode="External"/><Relationship Id="rId25" Type="http://schemas.openxmlformats.org/officeDocument/2006/relationships/hyperlink" Target="https://www.ohio-demographics.com/miami-county-demographics" TargetMode="External"/><Relationship Id="rId33" Type="http://schemas.openxmlformats.org/officeDocument/2006/relationships/hyperlink" Target="https://www.ohio-demographics.com/hancock-county-demographics" TargetMode="External"/><Relationship Id="rId38" Type="http://schemas.openxmlformats.org/officeDocument/2006/relationships/hyperlink" Target="https://www.ohio-demographics.com/jefferson-county-demographics" TargetMode="External"/><Relationship Id="rId46" Type="http://schemas.openxmlformats.org/officeDocument/2006/relationships/hyperlink" Target="https://www.ohio-demographics.com/union-county-demographics" TargetMode="External"/><Relationship Id="rId59" Type="http://schemas.openxmlformats.org/officeDocument/2006/relationships/hyperlink" Target="https://www.ohio-demographics.com/crawford-county-demographics" TargetMode="External"/><Relationship Id="rId67" Type="http://schemas.openxmlformats.org/officeDocument/2006/relationships/hyperlink" Target="https://www.ohio-demographics.com/coshocton-county-demographics" TargetMode="External"/><Relationship Id="rId20" Type="http://schemas.openxmlformats.org/officeDocument/2006/relationships/hyperlink" Target="https://www.ohio-demographics.com/fairfield-county-demographics" TargetMode="External"/><Relationship Id="rId41" Type="http://schemas.openxmlformats.org/officeDocument/2006/relationships/hyperlink" Target="https://www.ohio-demographics.com/washington-county-demographics" TargetMode="External"/><Relationship Id="rId54" Type="http://schemas.openxmlformats.org/officeDocument/2006/relationships/hyperlink" Target="https://www.ohio-demographics.com/holmes-county-demographics" TargetMode="External"/><Relationship Id="rId62" Type="http://schemas.openxmlformats.org/officeDocument/2006/relationships/hyperlink" Target="https://www.ohio-demographics.com/ottawa-county-demographics" TargetMode="External"/><Relationship Id="rId70" Type="http://schemas.openxmlformats.org/officeDocument/2006/relationships/hyperlink" Target="https://www.ohio-demographics.com/putnam-county-demographics" TargetMode="External"/><Relationship Id="rId75" Type="http://schemas.openxmlformats.org/officeDocument/2006/relationships/hyperlink" Target="https://www.ohio-demographics.com/hocking-county-demographics" TargetMode="External"/><Relationship Id="rId83" Type="http://schemas.openxmlformats.org/officeDocument/2006/relationships/hyperlink" Target="https://www.ohio-demographics.com/paulding-county-demographics" TargetMode="External"/><Relationship Id="rId88" Type="http://schemas.openxmlformats.org/officeDocument/2006/relationships/hyperlink" Target="https://www.ohio-demographics.com/vinton-county-demographics" TargetMode="External"/><Relationship Id="rId91" Type="http://schemas.openxmlformats.org/officeDocument/2006/relationships/table" Target="../tables/table43.xml"/><Relationship Id="rId1" Type="http://schemas.openxmlformats.org/officeDocument/2006/relationships/hyperlink" Target="https://www.ohio-demographics.com/franklin-county-demographics" TargetMode="External"/><Relationship Id="rId6" Type="http://schemas.openxmlformats.org/officeDocument/2006/relationships/hyperlink" Target="https://www.ohio-demographics.com/lucas-county-demographics" TargetMode="External"/><Relationship Id="rId15" Type="http://schemas.openxmlformats.org/officeDocument/2006/relationships/hyperlink" Target="https://www.ohio-demographics.com/trumbull-county-demographics" TargetMode="External"/><Relationship Id="rId23" Type="http://schemas.openxmlformats.org/officeDocument/2006/relationships/hyperlink" Target="https://www.ohio-demographics.com/richland-county-demographics" TargetMode="External"/><Relationship Id="rId28" Type="http://schemas.openxmlformats.org/officeDocument/2006/relationships/hyperlink" Target="https://www.ohio-demographics.com/ashtabula-county-demographics" TargetMode="External"/><Relationship Id="rId36" Type="http://schemas.openxmlformats.org/officeDocument/2006/relationships/hyperlink" Target="https://www.ohio-demographics.com/belmont-county-demographics" TargetMode="External"/><Relationship Id="rId49" Type="http://schemas.openxmlformats.org/officeDocument/2006/relationships/hyperlink" Target="https://www.ohio-demographics.com/darke-county-demographics" TargetMode="External"/><Relationship Id="rId57" Type="http://schemas.openxmlformats.org/officeDocument/2006/relationships/hyperlink" Target="https://www.ohio-demographics.com/fulton-county-demographics" TargetMode="External"/><Relationship Id="rId10" Type="http://schemas.openxmlformats.org/officeDocument/2006/relationships/hyperlink" Target="https://www.ohio-demographics.com/warren-county-demographics" TargetMode="External"/><Relationship Id="rId31" Type="http://schemas.openxmlformats.org/officeDocument/2006/relationships/hyperlink" Target="https://www.ohio-demographics.com/muskingum-county-demographics" TargetMode="External"/><Relationship Id="rId44" Type="http://schemas.openxmlformats.org/officeDocument/2006/relationships/hyperlink" Target="https://www.ohio-demographics.com/huron-county-demographics" TargetMode="External"/><Relationship Id="rId52" Type="http://schemas.openxmlformats.org/officeDocument/2006/relationships/hyperlink" Target="https://www.ohio-demographics.com/logan-county-demographics" TargetMode="External"/><Relationship Id="rId60" Type="http://schemas.openxmlformats.org/officeDocument/2006/relationships/hyperlink" Target="https://www.ohio-demographics.com/mercer-county-demographics" TargetMode="External"/><Relationship Id="rId65" Type="http://schemas.openxmlformats.org/officeDocument/2006/relationships/hyperlink" Target="https://www.ohio-demographics.com/defiance-county-demographics" TargetMode="External"/><Relationship Id="rId73" Type="http://schemas.openxmlformats.org/officeDocument/2006/relationships/hyperlink" Target="https://www.ohio-demographics.com/gallia-county-demographics" TargetMode="External"/><Relationship Id="rId78" Type="http://schemas.openxmlformats.org/officeDocument/2006/relationships/hyperlink" Target="https://www.ohio-demographics.com/adams-county-demographics" TargetMode="External"/><Relationship Id="rId81" Type="http://schemas.openxmlformats.org/officeDocument/2006/relationships/hyperlink" Target="https://www.ohio-demographics.com/meigs-county-demographics" TargetMode="External"/><Relationship Id="rId86" Type="http://schemas.openxmlformats.org/officeDocument/2006/relationships/hyperlink" Target="https://www.ohio-demographics.com/noble-county-demographics" TargetMode="External"/><Relationship Id="rId4" Type="http://schemas.openxmlformats.org/officeDocument/2006/relationships/hyperlink" Target="https://www.ohio-demographics.com/summit-county-demographics" TargetMode="External"/><Relationship Id="rId9" Type="http://schemas.openxmlformats.org/officeDocument/2006/relationships/hyperlink" Target="https://www.ohio-demographics.com/lorain-county-demographics" TargetMode="External"/><Relationship Id="rId13" Type="http://schemas.openxmlformats.org/officeDocument/2006/relationships/hyperlink" Target="https://www.ohio-demographics.com/clermont-county-demographics" TargetMode="External"/><Relationship Id="rId18" Type="http://schemas.openxmlformats.org/officeDocument/2006/relationships/hyperlink" Target="https://www.ohio-demographics.com/greene-county-demographics" TargetMode="External"/><Relationship Id="rId39" Type="http://schemas.openxmlformats.org/officeDocument/2006/relationships/hyperlink" Target="https://www.ohio-demographics.com/marion-county-demographics" TargetMode="External"/><Relationship Id="rId34" Type="http://schemas.openxmlformats.org/officeDocument/2006/relationships/hyperlink" Target="https://www.ohio-demographics.com/scioto-county-demographics" TargetMode="External"/><Relationship Id="rId50" Type="http://schemas.openxmlformats.org/officeDocument/2006/relationships/hyperlink" Target="https://www.ohio-demographics.com/shelby-county-demographics" TargetMode="External"/><Relationship Id="rId55" Type="http://schemas.openxmlformats.org/officeDocument/2006/relationships/hyperlink" Target="https://www.ohio-demographics.com/brown-county-demographics" TargetMode="External"/><Relationship Id="rId76" Type="http://schemas.openxmlformats.org/officeDocument/2006/relationships/hyperlink" Target="https://www.ohio-demographics.com/van-wert-county-demographics" TargetMode="External"/><Relationship Id="rId7" Type="http://schemas.openxmlformats.org/officeDocument/2006/relationships/hyperlink" Target="https://www.ohio-demographics.com/butler-county-demographics" TargetMode="External"/><Relationship Id="rId71" Type="http://schemas.openxmlformats.org/officeDocument/2006/relationships/hyperlink" Target="https://www.ohio-demographics.com/jackson-county-demographics" TargetMode="External"/><Relationship Id="rId2" Type="http://schemas.openxmlformats.org/officeDocument/2006/relationships/hyperlink" Target="https://www.ohio-demographics.com/cuyahoga-county-demographics" TargetMode="External"/><Relationship Id="rId29" Type="http://schemas.openxmlformats.org/officeDocument/2006/relationships/hyperlink" Target="https://www.ohio-demographics.com/geauga-county-demographics" TargetMode="External"/><Relationship Id="rId24" Type="http://schemas.openxmlformats.org/officeDocument/2006/relationships/hyperlink" Target="https://www.ohio-demographics.com/wayne-county-demographics" TargetMode="External"/><Relationship Id="rId40" Type="http://schemas.openxmlformats.org/officeDocument/2006/relationships/hyperlink" Target="https://www.ohio-demographics.com/knox-county-demographics" TargetMode="External"/><Relationship Id="rId45" Type="http://schemas.openxmlformats.org/officeDocument/2006/relationships/hyperlink" Target="https://www.ohio-demographics.com/pickaway-county-demographics" TargetMode="External"/><Relationship Id="rId66" Type="http://schemas.openxmlformats.org/officeDocument/2006/relationships/hyperlink" Target="https://www.ohio-demographics.com/williams-county-demographics" TargetMode="External"/><Relationship Id="rId87" Type="http://schemas.openxmlformats.org/officeDocument/2006/relationships/hyperlink" Target="https://www.ohio-demographics.com/monroe-county-demographics" TargetMode="External"/><Relationship Id="rId61" Type="http://schemas.openxmlformats.org/officeDocument/2006/relationships/hyperlink" Target="https://www.ohio-demographics.com/preble-county-demographics" TargetMode="External"/><Relationship Id="rId82" Type="http://schemas.openxmlformats.org/officeDocument/2006/relationships/hyperlink" Target="https://www.ohio-demographics.com/wyandot-county-demographics" TargetMode="External"/><Relationship Id="rId19" Type="http://schemas.openxmlformats.org/officeDocument/2006/relationships/hyperlink" Target="https://www.ohio-demographics.com/portage-county-demographics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klahoma-demographics.com/mayes-county-demographics" TargetMode="External"/><Relationship Id="rId21" Type="http://schemas.openxmlformats.org/officeDocument/2006/relationships/hyperlink" Target="https://www.oklahoma-demographics.com/kay-county-demographics" TargetMode="External"/><Relationship Id="rId42" Type="http://schemas.openxmlformats.org/officeDocument/2006/relationships/hyperlink" Target="https://www.oklahoma-demographics.com/mcintosh-county-demographics" TargetMode="External"/><Relationship Id="rId47" Type="http://schemas.openxmlformats.org/officeDocument/2006/relationships/hyperlink" Target="https://www.oklahoma-demographics.com/craig-county-demographics" TargetMode="External"/><Relationship Id="rId63" Type="http://schemas.openxmlformats.org/officeDocument/2006/relationships/hyperlink" Target="https://www.oklahoma-demographics.com/major-county-demographics" TargetMode="External"/><Relationship Id="rId68" Type="http://schemas.openxmlformats.org/officeDocument/2006/relationships/hyperlink" Target="https://www.oklahoma-demographics.com/cotton-county-demographics" TargetMode="External"/><Relationship Id="rId16" Type="http://schemas.openxmlformats.org/officeDocument/2006/relationships/hyperlink" Target="https://www.oklahoma-demographics.com/cherokee-county-demographics" TargetMode="External"/><Relationship Id="rId11" Type="http://schemas.openxmlformats.org/officeDocument/2006/relationships/hyperlink" Target="https://www.oklahoma-demographics.com/muskogee-county-demographics" TargetMode="External"/><Relationship Id="rId24" Type="http://schemas.openxmlformats.org/officeDocument/2006/relationships/hyperlink" Target="https://www.oklahoma-demographics.com/delaware-county-demographics" TargetMode="External"/><Relationship Id="rId32" Type="http://schemas.openxmlformats.org/officeDocument/2006/relationships/hyperlink" Target="https://www.oklahoma-demographics.com/ottawa-county-demographics" TargetMode="External"/><Relationship Id="rId37" Type="http://schemas.openxmlformats.org/officeDocument/2006/relationships/hyperlink" Target="https://www.oklahoma-demographics.com/seminole-county-demographics" TargetMode="External"/><Relationship Id="rId40" Type="http://schemas.openxmlformats.org/officeDocument/2006/relationships/hyperlink" Target="https://www.oklahoma-demographics.com/texas-county-demographics" TargetMode="External"/><Relationship Id="rId45" Type="http://schemas.openxmlformats.org/officeDocument/2006/relationships/hyperlink" Target="https://www.oklahoma-demographics.com/kingfisher-county-demographics" TargetMode="External"/><Relationship Id="rId53" Type="http://schemas.openxmlformats.org/officeDocument/2006/relationships/hyperlink" Target="https://www.oklahoma-demographics.com/noble-county-demographics" TargetMode="External"/><Relationship Id="rId58" Type="http://schemas.openxmlformats.org/officeDocument/2006/relationships/hyperlink" Target="https://www.oklahoma-demographics.com/latimer-county-demographics" TargetMode="External"/><Relationship Id="rId66" Type="http://schemas.openxmlformats.org/officeDocument/2006/relationships/hyperlink" Target="https://www.oklahoma-demographics.com/alfalfa-county-demographics" TargetMode="External"/><Relationship Id="rId74" Type="http://schemas.openxmlformats.org/officeDocument/2006/relationships/hyperlink" Target="https://www.oklahoma-demographics.com/harper-county-demographics" TargetMode="External"/><Relationship Id="rId79" Type="http://schemas.openxmlformats.org/officeDocument/2006/relationships/table" Target="../tables/table45.xml"/><Relationship Id="rId5" Type="http://schemas.openxmlformats.org/officeDocument/2006/relationships/hyperlink" Target="https://www.oklahoma-demographics.com/comanche-county-demographics" TargetMode="External"/><Relationship Id="rId61" Type="http://schemas.openxmlformats.org/officeDocument/2006/relationships/hyperlink" Target="https://www.oklahoma-demographics.com/woods-county-demographics" TargetMode="External"/><Relationship Id="rId19" Type="http://schemas.openxmlformats.org/officeDocument/2006/relationships/hyperlink" Target="https://www.oklahoma-demographics.com/bryan-county-demographics" TargetMode="External"/><Relationship Id="rId14" Type="http://schemas.openxmlformats.org/officeDocument/2006/relationships/hyperlink" Target="https://www.oklahoma-demographics.com/washington-county-demographics" TargetMode="External"/><Relationship Id="rId22" Type="http://schemas.openxmlformats.org/officeDocument/2006/relationships/hyperlink" Target="https://www.oklahoma-demographics.com/pittsburg-county-demographics" TargetMode="External"/><Relationship Id="rId27" Type="http://schemas.openxmlformats.org/officeDocument/2006/relationships/hyperlink" Target="https://www.oklahoma-demographics.com/mcclain-county-demographics" TargetMode="External"/><Relationship Id="rId30" Type="http://schemas.openxmlformats.org/officeDocument/2006/relationships/hyperlink" Target="https://www.oklahoma-demographics.com/lincoln-county-demographics" TargetMode="External"/><Relationship Id="rId35" Type="http://schemas.openxmlformats.org/officeDocument/2006/relationships/hyperlink" Target="https://www.oklahoma-demographics.com/garvin-county-demographics" TargetMode="External"/><Relationship Id="rId43" Type="http://schemas.openxmlformats.org/officeDocument/2006/relationships/hyperlink" Target="https://www.oklahoma-demographics.com/marshall-county-demographics" TargetMode="External"/><Relationship Id="rId48" Type="http://schemas.openxmlformats.org/officeDocument/2006/relationships/hyperlink" Target="https://www.oklahoma-demographics.com/murray-county-demographics" TargetMode="External"/><Relationship Id="rId56" Type="http://schemas.openxmlformats.org/officeDocument/2006/relationships/hyperlink" Target="https://www.oklahoma-demographics.com/johnston-county-demographics" TargetMode="External"/><Relationship Id="rId64" Type="http://schemas.openxmlformats.org/officeDocument/2006/relationships/hyperlink" Target="https://www.oklahoma-demographics.com/tillman-county-demographics" TargetMode="External"/><Relationship Id="rId69" Type="http://schemas.openxmlformats.org/officeDocument/2006/relationships/hyperlink" Target="https://www.oklahoma-demographics.com/coal-county-demographics" TargetMode="External"/><Relationship Id="rId77" Type="http://schemas.openxmlformats.org/officeDocument/2006/relationships/hyperlink" Target="https://www.oklahoma-demographics.com/cimarron-county-demographics" TargetMode="External"/><Relationship Id="rId8" Type="http://schemas.openxmlformats.org/officeDocument/2006/relationships/hyperlink" Target="https://www.oklahoma-demographics.com/wagoner-county-demographics" TargetMode="External"/><Relationship Id="rId51" Type="http://schemas.openxmlformats.org/officeDocument/2006/relationships/hyperlink" Target="https://www.oklahoma-demographics.com/haskell-county-demographics" TargetMode="External"/><Relationship Id="rId72" Type="http://schemas.openxmlformats.org/officeDocument/2006/relationships/hyperlink" Target="https://www.oklahoma-demographics.com/grant-county-demographics" TargetMode="External"/><Relationship Id="rId80" Type="http://schemas.openxmlformats.org/officeDocument/2006/relationships/table" Target="../tables/table46.xml"/><Relationship Id="rId3" Type="http://schemas.openxmlformats.org/officeDocument/2006/relationships/hyperlink" Target="https://www.oklahoma-demographics.com/cleveland-county-demographics" TargetMode="External"/><Relationship Id="rId12" Type="http://schemas.openxmlformats.org/officeDocument/2006/relationships/hyperlink" Target="https://www.oklahoma-demographics.com/garfield-county-demographics" TargetMode="External"/><Relationship Id="rId17" Type="http://schemas.openxmlformats.org/officeDocument/2006/relationships/hyperlink" Target="https://www.oklahoma-demographics.com/carter-county-demographics" TargetMode="External"/><Relationship Id="rId25" Type="http://schemas.openxmlformats.org/officeDocument/2006/relationships/hyperlink" Target="https://www.oklahoma-demographics.com/sequoyah-county-demographics" TargetMode="External"/><Relationship Id="rId33" Type="http://schemas.openxmlformats.org/officeDocument/2006/relationships/hyperlink" Target="https://www.oklahoma-demographics.com/caddo-county-demographics" TargetMode="External"/><Relationship Id="rId38" Type="http://schemas.openxmlformats.org/officeDocument/2006/relationships/hyperlink" Target="https://www.oklahoma-demographics.com/adair-county-demographics" TargetMode="External"/><Relationship Id="rId46" Type="http://schemas.openxmlformats.org/officeDocument/2006/relationships/hyperlink" Target="https://www.oklahoma-demographics.com/choctaw-county-demographics" TargetMode="External"/><Relationship Id="rId59" Type="http://schemas.openxmlformats.org/officeDocument/2006/relationships/hyperlink" Target="https://www.oklahoma-demographics.com/love-county-demographics" TargetMode="External"/><Relationship Id="rId67" Type="http://schemas.openxmlformats.org/officeDocument/2006/relationships/hyperlink" Target="https://www.oklahoma-demographics.com/greer-county-demographics" TargetMode="External"/><Relationship Id="rId20" Type="http://schemas.openxmlformats.org/officeDocument/2006/relationships/hyperlink" Target="https://www.oklahoma-demographics.com/osage-county-demographics" TargetMode="External"/><Relationship Id="rId41" Type="http://schemas.openxmlformats.org/officeDocument/2006/relationships/hyperlink" Target="https://www.oklahoma-demographics.com/woodward-county-demographics" TargetMode="External"/><Relationship Id="rId54" Type="http://schemas.openxmlformats.org/officeDocument/2006/relationships/hyperlink" Target="https://www.oklahoma-demographics.com/washita-county-demographics" TargetMode="External"/><Relationship Id="rId62" Type="http://schemas.openxmlformats.org/officeDocument/2006/relationships/hyperlink" Target="https://www.oklahoma-demographics.com/kiowa-county-demographics" TargetMode="External"/><Relationship Id="rId70" Type="http://schemas.openxmlformats.org/officeDocument/2006/relationships/hyperlink" Target="https://www.oklahoma-demographics.com/beaver-county-demographics" TargetMode="External"/><Relationship Id="rId75" Type="http://schemas.openxmlformats.org/officeDocument/2006/relationships/hyperlink" Target="https://www.oklahoma-demographics.com/roger-mills-county-demographics" TargetMode="External"/><Relationship Id="rId1" Type="http://schemas.openxmlformats.org/officeDocument/2006/relationships/hyperlink" Target="https://www.oklahoma-demographics.com/oklahoma-county-demographics" TargetMode="External"/><Relationship Id="rId6" Type="http://schemas.openxmlformats.org/officeDocument/2006/relationships/hyperlink" Target="https://www.oklahoma-demographics.com/rogers-county-demographics" TargetMode="External"/><Relationship Id="rId15" Type="http://schemas.openxmlformats.org/officeDocument/2006/relationships/hyperlink" Target="https://www.oklahoma-demographics.com/le-flore-county-demographics" TargetMode="External"/><Relationship Id="rId23" Type="http://schemas.openxmlformats.org/officeDocument/2006/relationships/hyperlink" Target="https://www.oklahoma-demographics.com/stephens-county-demographics" TargetMode="External"/><Relationship Id="rId28" Type="http://schemas.openxmlformats.org/officeDocument/2006/relationships/hyperlink" Target="https://www.oklahoma-demographics.com/okmulgee-county-demographics" TargetMode="External"/><Relationship Id="rId36" Type="http://schemas.openxmlformats.org/officeDocument/2006/relationships/hyperlink" Target="https://www.oklahoma-demographics.com/jackson-county-demographics" TargetMode="External"/><Relationship Id="rId49" Type="http://schemas.openxmlformats.org/officeDocument/2006/relationships/hyperlink" Target="https://www.oklahoma-demographics.com/atoka-county-demographics" TargetMode="External"/><Relationship Id="rId57" Type="http://schemas.openxmlformats.org/officeDocument/2006/relationships/hyperlink" Target="https://www.oklahoma-demographics.com/nowata-county-demographics" TargetMode="External"/><Relationship Id="rId10" Type="http://schemas.openxmlformats.org/officeDocument/2006/relationships/hyperlink" Target="https://www.oklahoma-demographics.com/creek-county-demographics" TargetMode="External"/><Relationship Id="rId31" Type="http://schemas.openxmlformats.org/officeDocument/2006/relationships/hyperlink" Target="https://www.oklahoma-demographics.com/mccurtain-county-demographics" TargetMode="External"/><Relationship Id="rId44" Type="http://schemas.openxmlformats.org/officeDocument/2006/relationships/hyperlink" Target="https://www.oklahoma-demographics.com/pawnee-county-demographics" TargetMode="External"/><Relationship Id="rId52" Type="http://schemas.openxmlformats.org/officeDocument/2006/relationships/hyperlink" Target="https://www.oklahoma-demographics.com/okfuskee-county-demographics" TargetMode="External"/><Relationship Id="rId60" Type="http://schemas.openxmlformats.org/officeDocument/2006/relationships/hyperlink" Target="https://www.oklahoma-demographics.com/blaine-county-demographics" TargetMode="External"/><Relationship Id="rId65" Type="http://schemas.openxmlformats.org/officeDocument/2006/relationships/hyperlink" Target="https://www.oklahoma-demographics.com/jefferson-county-demographics" TargetMode="External"/><Relationship Id="rId73" Type="http://schemas.openxmlformats.org/officeDocument/2006/relationships/hyperlink" Target="https://www.oklahoma-demographics.com/ellis-county-demographics" TargetMode="External"/><Relationship Id="rId78" Type="http://schemas.openxmlformats.org/officeDocument/2006/relationships/table" Target="../tables/table44.xml"/><Relationship Id="rId4" Type="http://schemas.openxmlformats.org/officeDocument/2006/relationships/hyperlink" Target="https://www.oklahoma-demographics.com/canadian-county-demographics" TargetMode="External"/><Relationship Id="rId9" Type="http://schemas.openxmlformats.org/officeDocument/2006/relationships/hyperlink" Target="https://www.oklahoma-demographics.com/pottawatomie-county-demographics" TargetMode="External"/><Relationship Id="rId13" Type="http://schemas.openxmlformats.org/officeDocument/2006/relationships/hyperlink" Target="https://www.oklahoma-demographics.com/grady-county-demographics" TargetMode="External"/><Relationship Id="rId18" Type="http://schemas.openxmlformats.org/officeDocument/2006/relationships/hyperlink" Target="https://www.oklahoma-demographics.com/logan-county-demographics" TargetMode="External"/><Relationship Id="rId39" Type="http://schemas.openxmlformats.org/officeDocument/2006/relationships/hyperlink" Target="https://www.oklahoma-demographics.com/beckham-county-demographics" TargetMode="External"/><Relationship Id="rId34" Type="http://schemas.openxmlformats.org/officeDocument/2006/relationships/hyperlink" Target="https://www.oklahoma-demographics.com/custer-county-demographics" TargetMode="External"/><Relationship Id="rId50" Type="http://schemas.openxmlformats.org/officeDocument/2006/relationships/hyperlink" Target="https://www.oklahoma-demographics.com/hughes-county-demographics" TargetMode="External"/><Relationship Id="rId55" Type="http://schemas.openxmlformats.org/officeDocument/2006/relationships/hyperlink" Target="https://www.oklahoma-demographics.com/pushmataha-county-demographics" TargetMode="External"/><Relationship Id="rId76" Type="http://schemas.openxmlformats.org/officeDocument/2006/relationships/hyperlink" Target="https://www.oklahoma-demographics.com/harmon-county-demographics" TargetMode="External"/><Relationship Id="rId7" Type="http://schemas.openxmlformats.org/officeDocument/2006/relationships/hyperlink" Target="https://www.oklahoma-demographics.com/payne-county-demographics" TargetMode="External"/><Relationship Id="rId71" Type="http://schemas.openxmlformats.org/officeDocument/2006/relationships/hyperlink" Target="https://www.oklahoma-demographics.com/dewey-county-demographics" TargetMode="External"/><Relationship Id="rId2" Type="http://schemas.openxmlformats.org/officeDocument/2006/relationships/hyperlink" Target="https://www.oklahoma-demographics.com/tulsa-county-demographics" TargetMode="External"/><Relationship Id="rId29" Type="http://schemas.openxmlformats.org/officeDocument/2006/relationships/hyperlink" Target="https://www.oklahoma-demographics.com/pontotoc-county-demographics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nnsylvania-demographics.com/cambria-county-demographics" TargetMode="External"/><Relationship Id="rId21" Type="http://schemas.openxmlformats.org/officeDocument/2006/relationships/hyperlink" Target="https://www.pennsylvania-demographics.com/beaver-county-demographics" TargetMode="External"/><Relationship Id="rId42" Type="http://schemas.openxmlformats.org/officeDocument/2006/relationships/hyperlink" Target="https://www.pennsylvania-demographics.com/pike-county-demographics" TargetMode="External"/><Relationship Id="rId47" Type="http://schemas.openxmlformats.org/officeDocument/2006/relationships/hyperlink" Target="https://www.pennsylvania-demographics.com/perry-county-demographics" TargetMode="External"/><Relationship Id="rId63" Type="http://schemas.openxmlformats.org/officeDocument/2006/relationships/hyperlink" Target="https://www.pennsylvania-demographics.com/potter-county-demographics" TargetMode="External"/><Relationship Id="rId68" Type="http://schemas.openxmlformats.org/officeDocument/2006/relationships/table" Target="../tables/table47.xml"/><Relationship Id="rId7" Type="http://schemas.openxmlformats.org/officeDocument/2006/relationships/hyperlink" Target="https://www.pennsylvania-demographics.com/chester-county-demographics" TargetMode="External"/><Relationship Id="rId2" Type="http://schemas.openxmlformats.org/officeDocument/2006/relationships/hyperlink" Target="https://www.pennsylvania-demographics.com/allegheny-county-demographics" TargetMode="External"/><Relationship Id="rId16" Type="http://schemas.openxmlformats.org/officeDocument/2006/relationships/hyperlink" Target="https://www.pennsylvania-demographics.com/cumberland-county-demographics" TargetMode="External"/><Relationship Id="rId29" Type="http://schemas.openxmlformats.org/officeDocument/2006/relationships/hyperlink" Target="https://www.pennsylvania-demographics.com/lycoming-county-demographics" TargetMode="External"/><Relationship Id="rId11" Type="http://schemas.openxmlformats.org/officeDocument/2006/relationships/hyperlink" Target="https://www.pennsylvania-demographics.com/westmoreland-county-demographics" TargetMode="External"/><Relationship Id="rId24" Type="http://schemas.openxmlformats.org/officeDocument/2006/relationships/hyperlink" Target="https://www.pennsylvania-demographics.com/schuylkill-county-demographics" TargetMode="External"/><Relationship Id="rId32" Type="http://schemas.openxmlformats.org/officeDocument/2006/relationships/hyperlink" Target="https://www.pennsylvania-demographics.com/northumberland-county-demographics" TargetMode="External"/><Relationship Id="rId37" Type="http://schemas.openxmlformats.org/officeDocument/2006/relationships/hyperlink" Target="https://www.pennsylvania-demographics.com/somerset-county-demographics" TargetMode="External"/><Relationship Id="rId40" Type="http://schemas.openxmlformats.org/officeDocument/2006/relationships/hyperlink" Target="https://www.pennsylvania-demographics.com/carbon-county-demographics" TargetMode="External"/><Relationship Id="rId45" Type="http://schemas.openxmlformats.org/officeDocument/2006/relationships/hyperlink" Target="https://www.pennsylvania-demographics.com/bedford-county-demographics" TargetMode="External"/><Relationship Id="rId53" Type="http://schemas.openxmlformats.org/officeDocument/2006/relationships/hyperlink" Target="https://www.pennsylvania-demographics.com/susquehanna-county-demographics" TargetMode="External"/><Relationship Id="rId58" Type="http://schemas.openxmlformats.org/officeDocument/2006/relationships/hyperlink" Target="https://www.pennsylvania-demographics.com/greene-county-demographics" TargetMode="External"/><Relationship Id="rId66" Type="http://schemas.openxmlformats.org/officeDocument/2006/relationships/hyperlink" Target="https://www.pennsylvania-demographics.com/sullivan-county-demographics" TargetMode="External"/><Relationship Id="rId5" Type="http://schemas.openxmlformats.org/officeDocument/2006/relationships/hyperlink" Target="https://www.pennsylvania-demographics.com/delaware-county-demographics" TargetMode="External"/><Relationship Id="rId61" Type="http://schemas.openxmlformats.org/officeDocument/2006/relationships/hyperlink" Target="https://www.pennsylvania-demographics.com/juniata-county-demographics" TargetMode="External"/><Relationship Id="rId19" Type="http://schemas.openxmlformats.org/officeDocument/2006/relationships/hyperlink" Target="https://www.pennsylvania-demographics.com/butler-county-demographics" TargetMode="External"/><Relationship Id="rId14" Type="http://schemas.openxmlformats.org/officeDocument/2006/relationships/hyperlink" Target="https://www.pennsylvania-demographics.com/dauphin-county-demographics" TargetMode="External"/><Relationship Id="rId22" Type="http://schemas.openxmlformats.org/officeDocument/2006/relationships/hyperlink" Target="https://www.pennsylvania-demographics.com/centre-county-demographics" TargetMode="External"/><Relationship Id="rId27" Type="http://schemas.openxmlformats.org/officeDocument/2006/relationships/hyperlink" Target="https://www.pennsylvania-demographics.com/fayette-county-demographics" TargetMode="External"/><Relationship Id="rId30" Type="http://schemas.openxmlformats.org/officeDocument/2006/relationships/hyperlink" Target="https://www.pennsylvania-demographics.com/mercer-county-demographics" TargetMode="External"/><Relationship Id="rId35" Type="http://schemas.openxmlformats.org/officeDocument/2006/relationships/hyperlink" Target="https://www.pennsylvania-demographics.com/indiana-county-demographics" TargetMode="External"/><Relationship Id="rId43" Type="http://schemas.openxmlformats.org/officeDocument/2006/relationships/hyperlink" Target="https://www.pennsylvania-demographics.com/venango-county-demographics" TargetMode="External"/><Relationship Id="rId48" Type="http://schemas.openxmlformats.org/officeDocument/2006/relationships/hyperlink" Target="https://www.pennsylvania-demographics.com/huntingdon-county-demographics" TargetMode="External"/><Relationship Id="rId56" Type="http://schemas.openxmlformats.org/officeDocument/2006/relationships/hyperlink" Target="https://www.pennsylvania-demographics.com/clarion-county-demographics" TargetMode="External"/><Relationship Id="rId64" Type="http://schemas.openxmlformats.org/officeDocument/2006/relationships/hyperlink" Target="https://www.pennsylvania-demographics.com/fulton-county-demographics" TargetMode="External"/><Relationship Id="rId69" Type="http://schemas.openxmlformats.org/officeDocument/2006/relationships/table" Target="../tables/table48.xml"/><Relationship Id="rId8" Type="http://schemas.openxmlformats.org/officeDocument/2006/relationships/hyperlink" Target="https://www.pennsylvania-demographics.com/york-county-demographics" TargetMode="External"/><Relationship Id="rId51" Type="http://schemas.openxmlformats.org/officeDocument/2006/relationships/hyperlink" Target="https://www.pennsylvania-demographics.com/mckean-county-demographics" TargetMode="External"/><Relationship Id="rId3" Type="http://schemas.openxmlformats.org/officeDocument/2006/relationships/hyperlink" Target="https://www.pennsylvania-demographics.com/montgomery-county-demographics" TargetMode="External"/><Relationship Id="rId12" Type="http://schemas.openxmlformats.org/officeDocument/2006/relationships/hyperlink" Target="https://www.pennsylvania-demographics.com/luzerne-county-demographics" TargetMode="External"/><Relationship Id="rId17" Type="http://schemas.openxmlformats.org/officeDocument/2006/relationships/hyperlink" Target="https://www.pennsylvania-demographics.com/lackawanna-county-demographics" TargetMode="External"/><Relationship Id="rId25" Type="http://schemas.openxmlformats.org/officeDocument/2006/relationships/hyperlink" Target="https://www.pennsylvania-demographics.com/lebanon-county-demographics" TargetMode="External"/><Relationship Id="rId33" Type="http://schemas.openxmlformats.org/officeDocument/2006/relationships/hyperlink" Target="https://www.pennsylvania-demographics.com/lawrence-county-demographics" TargetMode="External"/><Relationship Id="rId38" Type="http://schemas.openxmlformats.org/officeDocument/2006/relationships/hyperlink" Target="https://www.pennsylvania-demographics.com/columbia-county-demographics" TargetMode="External"/><Relationship Id="rId46" Type="http://schemas.openxmlformats.org/officeDocument/2006/relationships/hyperlink" Target="https://www.pennsylvania-demographics.com/mifflin-county-demographics" TargetMode="External"/><Relationship Id="rId59" Type="http://schemas.openxmlformats.org/officeDocument/2006/relationships/hyperlink" Target="https://www.pennsylvania-demographics.com/elk-county-demographics" TargetMode="External"/><Relationship Id="rId67" Type="http://schemas.openxmlformats.org/officeDocument/2006/relationships/hyperlink" Target="https://www.pennsylvania-demographics.com/cameron-county-demographics" TargetMode="External"/><Relationship Id="rId20" Type="http://schemas.openxmlformats.org/officeDocument/2006/relationships/hyperlink" Target="https://www.pennsylvania-demographics.com/monroe-county-demographics" TargetMode="External"/><Relationship Id="rId41" Type="http://schemas.openxmlformats.org/officeDocument/2006/relationships/hyperlink" Target="https://www.pennsylvania-demographics.com/bradford-county-demographics" TargetMode="External"/><Relationship Id="rId54" Type="http://schemas.openxmlformats.org/officeDocument/2006/relationships/hyperlink" Target="https://www.pennsylvania-demographics.com/snyder-county-demographics" TargetMode="External"/><Relationship Id="rId62" Type="http://schemas.openxmlformats.org/officeDocument/2006/relationships/hyperlink" Target="https://www.pennsylvania-demographics.com/montour-county-demographics" TargetMode="External"/><Relationship Id="rId70" Type="http://schemas.openxmlformats.org/officeDocument/2006/relationships/table" Target="../tables/table49.xml"/><Relationship Id="rId1" Type="http://schemas.openxmlformats.org/officeDocument/2006/relationships/hyperlink" Target="https://www.pennsylvania-demographics.com/philadelphia-county-demographics" TargetMode="External"/><Relationship Id="rId6" Type="http://schemas.openxmlformats.org/officeDocument/2006/relationships/hyperlink" Target="https://www.pennsylvania-demographics.com/lancaster-county-demographics" TargetMode="External"/><Relationship Id="rId15" Type="http://schemas.openxmlformats.org/officeDocument/2006/relationships/hyperlink" Target="https://www.pennsylvania-demographics.com/erie-county-demographics" TargetMode="External"/><Relationship Id="rId23" Type="http://schemas.openxmlformats.org/officeDocument/2006/relationships/hyperlink" Target="https://www.pennsylvania-demographics.com/franklin-county-demographics" TargetMode="External"/><Relationship Id="rId28" Type="http://schemas.openxmlformats.org/officeDocument/2006/relationships/hyperlink" Target="https://www.pennsylvania-demographics.com/blair-county-demographics" TargetMode="External"/><Relationship Id="rId36" Type="http://schemas.openxmlformats.org/officeDocument/2006/relationships/hyperlink" Target="https://www.pennsylvania-demographics.com/clearfield-county-demographics" TargetMode="External"/><Relationship Id="rId49" Type="http://schemas.openxmlformats.org/officeDocument/2006/relationships/hyperlink" Target="https://www.pennsylvania-demographics.com/union-county-demographics" TargetMode="External"/><Relationship Id="rId57" Type="http://schemas.openxmlformats.org/officeDocument/2006/relationships/hyperlink" Target="https://www.pennsylvania-demographics.com/clinton-county-demographics" TargetMode="External"/><Relationship Id="rId10" Type="http://schemas.openxmlformats.org/officeDocument/2006/relationships/hyperlink" Target="https://www.pennsylvania-demographics.com/lehigh-county-demographics" TargetMode="External"/><Relationship Id="rId31" Type="http://schemas.openxmlformats.org/officeDocument/2006/relationships/hyperlink" Target="https://www.pennsylvania-demographics.com/adams-county-demographics" TargetMode="External"/><Relationship Id="rId44" Type="http://schemas.openxmlformats.org/officeDocument/2006/relationships/hyperlink" Target="https://www.pennsylvania-demographics.com/wayne-county-demographics" TargetMode="External"/><Relationship Id="rId52" Type="http://schemas.openxmlformats.org/officeDocument/2006/relationships/hyperlink" Target="https://www.pennsylvania-demographics.com/tioga-county-demographics" TargetMode="External"/><Relationship Id="rId60" Type="http://schemas.openxmlformats.org/officeDocument/2006/relationships/hyperlink" Target="https://www.pennsylvania-demographics.com/wyoming-county-demographics" TargetMode="External"/><Relationship Id="rId65" Type="http://schemas.openxmlformats.org/officeDocument/2006/relationships/hyperlink" Target="https://www.pennsylvania-demographics.com/forest-county-demographics" TargetMode="External"/><Relationship Id="rId4" Type="http://schemas.openxmlformats.org/officeDocument/2006/relationships/hyperlink" Target="https://www.pennsylvania-demographics.com/bucks-county-demographics" TargetMode="External"/><Relationship Id="rId9" Type="http://schemas.openxmlformats.org/officeDocument/2006/relationships/hyperlink" Target="https://www.pennsylvania-demographics.com/berks-county-demographics" TargetMode="External"/><Relationship Id="rId13" Type="http://schemas.openxmlformats.org/officeDocument/2006/relationships/hyperlink" Target="https://www.pennsylvania-demographics.com/northampton-county-demographics" TargetMode="External"/><Relationship Id="rId18" Type="http://schemas.openxmlformats.org/officeDocument/2006/relationships/hyperlink" Target="https://www.pennsylvania-demographics.com/washington-county-demographics" TargetMode="External"/><Relationship Id="rId39" Type="http://schemas.openxmlformats.org/officeDocument/2006/relationships/hyperlink" Target="https://www.pennsylvania-demographics.com/armstrong-county-demographics" TargetMode="External"/><Relationship Id="rId34" Type="http://schemas.openxmlformats.org/officeDocument/2006/relationships/hyperlink" Target="https://www.pennsylvania-demographics.com/crawford-county-demographics" TargetMode="External"/><Relationship Id="rId50" Type="http://schemas.openxmlformats.org/officeDocument/2006/relationships/hyperlink" Target="https://www.pennsylvania-demographics.com/jefferson-county-demographics" TargetMode="External"/><Relationship Id="rId55" Type="http://schemas.openxmlformats.org/officeDocument/2006/relationships/hyperlink" Target="https://www.pennsylvania-demographics.com/warren-county-demographics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uthcarolina-demographics.com/florence-county-demographics" TargetMode="External"/><Relationship Id="rId18" Type="http://schemas.openxmlformats.org/officeDocument/2006/relationships/hyperlink" Target="https://www.southcarolina-demographics.com/oconee-county-demographics" TargetMode="External"/><Relationship Id="rId26" Type="http://schemas.openxmlformats.org/officeDocument/2006/relationships/hyperlink" Target="https://www.southcarolina-demographics.com/newberry-county-demographics" TargetMode="External"/><Relationship Id="rId39" Type="http://schemas.openxmlformats.org/officeDocument/2006/relationships/hyperlink" Target="https://www.southcarolina-demographics.com/barnwell-county-demographics" TargetMode="External"/><Relationship Id="rId21" Type="http://schemas.openxmlformats.org/officeDocument/2006/relationships/hyperlink" Target="https://www.southcarolina-demographics.com/darlington-county-demographics" TargetMode="External"/><Relationship Id="rId34" Type="http://schemas.openxmlformats.org/officeDocument/2006/relationships/hyperlink" Target="https://www.southcarolina-demographics.com/union-county-demographics" TargetMode="External"/><Relationship Id="rId42" Type="http://schemas.openxmlformats.org/officeDocument/2006/relationships/hyperlink" Target="https://www.southcarolina-demographics.com/lee-county-demographics" TargetMode="External"/><Relationship Id="rId47" Type="http://schemas.openxmlformats.org/officeDocument/2006/relationships/table" Target="../tables/table50.xml"/><Relationship Id="rId7" Type="http://schemas.openxmlformats.org/officeDocument/2006/relationships/hyperlink" Target="https://www.southcarolina-demographics.com/york-county-demographics" TargetMode="External"/><Relationship Id="rId2" Type="http://schemas.openxmlformats.org/officeDocument/2006/relationships/hyperlink" Target="https://www.southcarolina-demographics.com/richland-county-demographics" TargetMode="External"/><Relationship Id="rId16" Type="http://schemas.openxmlformats.org/officeDocument/2006/relationships/hyperlink" Target="https://www.southcarolina-demographics.com/lancaster-county-demographics" TargetMode="External"/><Relationship Id="rId29" Type="http://schemas.openxmlformats.org/officeDocument/2006/relationships/hyperlink" Target="https://www.southcarolina-demographics.com/chester-county-demographics" TargetMode="External"/><Relationship Id="rId11" Type="http://schemas.openxmlformats.org/officeDocument/2006/relationships/hyperlink" Target="https://www.southcarolina-demographics.com/aiken-county-demographics" TargetMode="External"/><Relationship Id="rId24" Type="http://schemas.openxmlformats.org/officeDocument/2006/relationships/hyperlink" Target="https://www.southcarolina-demographics.com/cherokee-county-demographics" TargetMode="External"/><Relationship Id="rId32" Type="http://schemas.openxmlformats.org/officeDocument/2006/relationships/hyperlink" Target="https://www.southcarolina-demographics.com/dillon-county-demographics" TargetMode="External"/><Relationship Id="rId37" Type="http://schemas.openxmlformats.org/officeDocument/2006/relationships/hyperlink" Target="https://www.southcarolina-demographics.com/abbeville-county-demographics" TargetMode="External"/><Relationship Id="rId40" Type="http://schemas.openxmlformats.org/officeDocument/2006/relationships/hyperlink" Target="https://www.southcarolina-demographics.com/saluda-county-demographics" TargetMode="External"/><Relationship Id="rId45" Type="http://schemas.openxmlformats.org/officeDocument/2006/relationships/hyperlink" Target="https://www.southcarolina-demographics.com/mccormick-county-demographics" TargetMode="External"/><Relationship Id="rId5" Type="http://schemas.openxmlformats.org/officeDocument/2006/relationships/hyperlink" Target="https://www.southcarolina-demographics.com/spartanburg-county-demographics" TargetMode="External"/><Relationship Id="rId15" Type="http://schemas.openxmlformats.org/officeDocument/2006/relationships/hyperlink" Target="https://www.southcarolina-demographics.com/sumter-county-demographics" TargetMode="External"/><Relationship Id="rId23" Type="http://schemas.openxmlformats.org/officeDocument/2006/relationships/hyperlink" Target="https://www.southcarolina-demographics.com/georgetown-county-demographics" TargetMode="External"/><Relationship Id="rId28" Type="http://schemas.openxmlformats.org/officeDocument/2006/relationships/hyperlink" Target="https://www.southcarolina-demographics.com/clarendon-county-demographics" TargetMode="External"/><Relationship Id="rId36" Type="http://schemas.openxmlformats.org/officeDocument/2006/relationships/hyperlink" Target="https://www.southcarolina-demographics.com/marlboro-county-demographics" TargetMode="External"/><Relationship Id="rId49" Type="http://schemas.openxmlformats.org/officeDocument/2006/relationships/table" Target="../tables/table52.xml"/><Relationship Id="rId10" Type="http://schemas.openxmlformats.org/officeDocument/2006/relationships/hyperlink" Target="https://www.southcarolina-demographics.com/beaufort-county-demographics" TargetMode="External"/><Relationship Id="rId19" Type="http://schemas.openxmlformats.org/officeDocument/2006/relationships/hyperlink" Target="https://www.southcarolina-demographics.com/greenwood-county-demographics" TargetMode="External"/><Relationship Id="rId31" Type="http://schemas.openxmlformats.org/officeDocument/2006/relationships/hyperlink" Target="https://www.southcarolina-demographics.com/williamsburg-county-demographics" TargetMode="External"/><Relationship Id="rId44" Type="http://schemas.openxmlformats.org/officeDocument/2006/relationships/hyperlink" Target="https://www.southcarolina-demographics.com/bamberg-county-demographics" TargetMode="External"/><Relationship Id="rId4" Type="http://schemas.openxmlformats.org/officeDocument/2006/relationships/hyperlink" Target="https://www.southcarolina-demographics.com/horry-county-demographics" TargetMode="External"/><Relationship Id="rId9" Type="http://schemas.openxmlformats.org/officeDocument/2006/relationships/hyperlink" Target="https://www.southcarolina-demographics.com/anderson-county-demographics" TargetMode="External"/><Relationship Id="rId14" Type="http://schemas.openxmlformats.org/officeDocument/2006/relationships/hyperlink" Target="https://www.southcarolina-demographics.com/pickens-county-demographics" TargetMode="External"/><Relationship Id="rId22" Type="http://schemas.openxmlformats.org/officeDocument/2006/relationships/hyperlink" Target="https://www.southcarolina-demographics.com/kershaw-county-demographics" TargetMode="External"/><Relationship Id="rId27" Type="http://schemas.openxmlformats.org/officeDocument/2006/relationships/hyperlink" Target="https://www.southcarolina-demographics.com/colleton-county-demographics" TargetMode="External"/><Relationship Id="rId30" Type="http://schemas.openxmlformats.org/officeDocument/2006/relationships/hyperlink" Target="https://www.southcarolina-demographics.com/marion-county-demographics" TargetMode="External"/><Relationship Id="rId35" Type="http://schemas.openxmlformats.org/officeDocument/2006/relationships/hyperlink" Target="https://www.southcarolina-demographics.com/edgefield-county-demographics" TargetMode="External"/><Relationship Id="rId43" Type="http://schemas.openxmlformats.org/officeDocument/2006/relationships/hyperlink" Target="https://www.southcarolina-demographics.com/calhoun-county-demographics" TargetMode="External"/><Relationship Id="rId48" Type="http://schemas.openxmlformats.org/officeDocument/2006/relationships/table" Target="../tables/table51.xml"/><Relationship Id="rId8" Type="http://schemas.openxmlformats.org/officeDocument/2006/relationships/hyperlink" Target="https://www.southcarolina-demographics.com/berkeley-county-demographics" TargetMode="External"/><Relationship Id="rId3" Type="http://schemas.openxmlformats.org/officeDocument/2006/relationships/hyperlink" Target="https://www.southcarolina-demographics.com/charleston-county-demographics" TargetMode="External"/><Relationship Id="rId12" Type="http://schemas.openxmlformats.org/officeDocument/2006/relationships/hyperlink" Target="https://www.southcarolina-demographics.com/dorchester-county-demographics" TargetMode="External"/><Relationship Id="rId17" Type="http://schemas.openxmlformats.org/officeDocument/2006/relationships/hyperlink" Target="https://www.southcarolina-demographics.com/orangeburg-county-demographics" TargetMode="External"/><Relationship Id="rId25" Type="http://schemas.openxmlformats.org/officeDocument/2006/relationships/hyperlink" Target="https://www.southcarolina-demographics.com/chesterfield-county-demographics" TargetMode="External"/><Relationship Id="rId33" Type="http://schemas.openxmlformats.org/officeDocument/2006/relationships/hyperlink" Target="https://www.southcarolina-demographics.com/jasper-county-demographics" TargetMode="External"/><Relationship Id="rId38" Type="http://schemas.openxmlformats.org/officeDocument/2006/relationships/hyperlink" Target="https://www.southcarolina-demographics.com/fairfield-county-demographics" TargetMode="External"/><Relationship Id="rId46" Type="http://schemas.openxmlformats.org/officeDocument/2006/relationships/hyperlink" Target="https://www.southcarolina-demographics.com/allendale-county-demographics" TargetMode="External"/><Relationship Id="rId20" Type="http://schemas.openxmlformats.org/officeDocument/2006/relationships/hyperlink" Target="https://www.southcarolina-demographics.com/laurens-county-demographics" TargetMode="External"/><Relationship Id="rId41" Type="http://schemas.openxmlformats.org/officeDocument/2006/relationships/hyperlink" Target="https://www.southcarolina-demographics.com/hampton-county-demographics" TargetMode="External"/><Relationship Id="rId1" Type="http://schemas.openxmlformats.org/officeDocument/2006/relationships/hyperlink" Target="https://www.southcarolina-demographics.com/greenville-county-demographics" TargetMode="External"/><Relationship Id="rId6" Type="http://schemas.openxmlformats.org/officeDocument/2006/relationships/hyperlink" Target="https://www.southcarolina-demographics.com/lexington-county-demographics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ah-demographics.com/box-elder-county-demographics" TargetMode="External"/><Relationship Id="rId13" Type="http://schemas.openxmlformats.org/officeDocument/2006/relationships/hyperlink" Target="https://www.utah-demographics.com/sanpete-county-demographics" TargetMode="External"/><Relationship Id="rId18" Type="http://schemas.openxmlformats.org/officeDocument/2006/relationships/hyperlink" Target="https://www.utah-demographics.com/millard-county-demographics" TargetMode="External"/><Relationship Id="rId26" Type="http://schemas.openxmlformats.org/officeDocument/2006/relationships/hyperlink" Target="https://www.utah-demographics.com/wayne-county-demographics" TargetMode="External"/><Relationship Id="rId3" Type="http://schemas.openxmlformats.org/officeDocument/2006/relationships/hyperlink" Target="https://www.utah-demographics.com/davis-county-demographics" TargetMode="External"/><Relationship Id="rId21" Type="http://schemas.openxmlformats.org/officeDocument/2006/relationships/hyperlink" Target="https://www.utah-demographics.com/emery-county-demographics" TargetMode="External"/><Relationship Id="rId7" Type="http://schemas.openxmlformats.org/officeDocument/2006/relationships/hyperlink" Target="https://www.utah-demographics.com/tooele-county-demographics" TargetMode="External"/><Relationship Id="rId12" Type="http://schemas.openxmlformats.org/officeDocument/2006/relationships/hyperlink" Target="https://www.utah-demographics.com/wasatch-county-demographics" TargetMode="External"/><Relationship Id="rId17" Type="http://schemas.openxmlformats.org/officeDocument/2006/relationships/hyperlink" Target="https://www.utah-demographics.com/san-juan-county-demographics" TargetMode="External"/><Relationship Id="rId25" Type="http://schemas.openxmlformats.org/officeDocument/2006/relationships/hyperlink" Target="https://www.utah-demographics.com/garfield-county-demographics" TargetMode="External"/><Relationship Id="rId2" Type="http://schemas.openxmlformats.org/officeDocument/2006/relationships/hyperlink" Target="https://www.utah-demographics.com/utah-county-demographics" TargetMode="External"/><Relationship Id="rId16" Type="http://schemas.openxmlformats.org/officeDocument/2006/relationships/hyperlink" Target="https://www.utah-demographics.com/duchesne-county-demographics" TargetMode="External"/><Relationship Id="rId20" Type="http://schemas.openxmlformats.org/officeDocument/2006/relationships/hyperlink" Target="https://www.utah-demographics.com/juab-county-demographics" TargetMode="External"/><Relationship Id="rId29" Type="http://schemas.openxmlformats.org/officeDocument/2006/relationships/hyperlink" Target="https://www.utah-demographics.com/daggett-county-demographics" TargetMode="External"/><Relationship Id="rId1" Type="http://schemas.openxmlformats.org/officeDocument/2006/relationships/hyperlink" Target="https://www.utah-demographics.com/salt-lake-county-demographics" TargetMode="External"/><Relationship Id="rId6" Type="http://schemas.openxmlformats.org/officeDocument/2006/relationships/hyperlink" Target="https://www.utah-demographics.com/cache-county-demographics" TargetMode="External"/><Relationship Id="rId11" Type="http://schemas.openxmlformats.org/officeDocument/2006/relationships/hyperlink" Target="https://www.utah-demographics.com/uintah-county-demographics" TargetMode="External"/><Relationship Id="rId24" Type="http://schemas.openxmlformats.org/officeDocument/2006/relationships/hyperlink" Target="https://www.utah-demographics.com/beaver-county-demographics" TargetMode="External"/><Relationship Id="rId32" Type="http://schemas.openxmlformats.org/officeDocument/2006/relationships/table" Target="../tables/table55.xml"/><Relationship Id="rId5" Type="http://schemas.openxmlformats.org/officeDocument/2006/relationships/hyperlink" Target="https://www.utah-demographics.com/washington-county-demographics" TargetMode="External"/><Relationship Id="rId15" Type="http://schemas.openxmlformats.org/officeDocument/2006/relationships/hyperlink" Target="https://www.utah-demographics.com/carbon-county-demographics" TargetMode="External"/><Relationship Id="rId23" Type="http://schemas.openxmlformats.org/officeDocument/2006/relationships/hyperlink" Target="https://www.utah-demographics.com/kane-county-demographics" TargetMode="External"/><Relationship Id="rId28" Type="http://schemas.openxmlformats.org/officeDocument/2006/relationships/hyperlink" Target="https://www.utah-demographics.com/piute-county-demographics" TargetMode="External"/><Relationship Id="rId10" Type="http://schemas.openxmlformats.org/officeDocument/2006/relationships/hyperlink" Target="https://www.utah-demographics.com/summit-county-demographics" TargetMode="External"/><Relationship Id="rId19" Type="http://schemas.openxmlformats.org/officeDocument/2006/relationships/hyperlink" Target="https://www.utah-demographics.com/morgan-county-demographics" TargetMode="External"/><Relationship Id="rId31" Type="http://schemas.openxmlformats.org/officeDocument/2006/relationships/table" Target="../tables/table54.xml"/><Relationship Id="rId4" Type="http://schemas.openxmlformats.org/officeDocument/2006/relationships/hyperlink" Target="https://www.utah-demographics.com/weber-county-demographics" TargetMode="External"/><Relationship Id="rId9" Type="http://schemas.openxmlformats.org/officeDocument/2006/relationships/hyperlink" Target="https://www.utah-demographics.com/iron-county-demographics" TargetMode="External"/><Relationship Id="rId14" Type="http://schemas.openxmlformats.org/officeDocument/2006/relationships/hyperlink" Target="https://www.utah-demographics.com/sevier-county-demographics" TargetMode="External"/><Relationship Id="rId22" Type="http://schemas.openxmlformats.org/officeDocument/2006/relationships/hyperlink" Target="https://www.utah-demographics.com/grand-county-demographics" TargetMode="External"/><Relationship Id="rId27" Type="http://schemas.openxmlformats.org/officeDocument/2006/relationships/hyperlink" Target="https://www.utah-demographics.com/rich-county-demographics" TargetMode="External"/><Relationship Id="rId30" Type="http://schemas.openxmlformats.org/officeDocument/2006/relationships/table" Target="../tables/table5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ine-demographics.com/hancock-county-demographics" TargetMode="External"/><Relationship Id="rId13" Type="http://schemas.openxmlformats.org/officeDocument/2006/relationships/hyperlink" Target="https://www.maine-demographics.com/lincoln-county-demographics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s://www.maine-demographics.com/penobscot-county-demographics" TargetMode="External"/><Relationship Id="rId7" Type="http://schemas.openxmlformats.org/officeDocument/2006/relationships/hyperlink" Target="https://www.maine-demographics.com/oxford-county-demographics" TargetMode="External"/><Relationship Id="rId12" Type="http://schemas.openxmlformats.org/officeDocument/2006/relationships/hyperlink" Target="https://www.maine-demographics.com/sagadahoc-county-demographics" TargetMode="External"/><Relationship Id="rId17" Type="http://schemas.openxmlformats.org/officeDocument/2006/relationships/table" Target="../tables/table2.xml"/><Relationship Id="rId2" Type="http://schemas.openxmlformats.org/officeDocument/2006/relationships/hyperlink" Target="https://www.maine-demographics.com/york-county-demographics" TargetMode="External"/><Relationship Id="rId16" Type="http://schemas.openxmlformats.org/officeDocument/2006/relationships/hyperlink" Target="https://www.maine-demographics.com/piscataquis-county-demographics" TargetMode="External"/><Relationship Id="rId1" Type="http://schemas.openxmlformats.org/officeDocument/2006/relationships/hyperlink" Target="https://www.maine-demographics.com/cumberland-county-demographics" TargetMode="External"/><Relationship Id="rId6" Type="http://schemas.openxmlformats.org/officeDocument/2006/relationships/hyperlink" Target="https://www.maine-demographics.com/aroostook-county-demographics" TargetMode="External"/><Relationship Id="rId11" Type="http://schemas.openxmlformats.org/officeDocument/2006/relationships/hyperlink" Target="https://www.maine-demographics.com/waldo-county-demographics" TargetMode="External"/><Relationship Id="rId5" Type="http://schemas.openxmlformats.org/officeDocument/2006/relationships/hyperlink" Target="https://www.maine-demographics.com/androscoggin-county-demographics" TargetMode="External"/><Relationship Id="rId15" Type="http://schemas.openxmlformats.org/officeDocument/2006/relationships/hyperlink" Target="https://www.maine-demographics.com/franklin-county-demographics" TargetMode="External"/><Relationship Id="rId10" Type="http://schemas.openxmlformats.org/officeDocument/2006/relationships/hyperlink" Target="https://www.maine-demographics.com/knox-county-demographics" TargetMode="External"/><Relationship Id="rId19" Type="http://schemas.openxmlformats.org/officeDocument/2006/relationships/table" Target="../tables/table4.xml"/><Relationship Id="rId4" Type="http://schemas.openxmlformats.org/officeDocument/2006/relationships/hyperlink" Target="https://www.maine-demographics.com/kennebec-county-demographics" TargetMode="External"/><Relationship Id="rId9" Type="http://schemas.openxmlformats.org/officeDocument/2006/relationships/hyperlink" Target="https://www.maine-demographics.com/somerset-county-demographics" TargetMode="External"/><Relationship Id="rId14" Type="http://schemas.openxmlformats.org/officeDocument/2006/relationships/hyperlink" Target="https://www.maine-demographics.com/washington-county-demographics" TargetMode="External"/></Relationships>
</file>

<file path=xl/worksheets/_rels/sheet2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virginia-demographics.com/bedford-county-demographics" TargetMode="External"/><Relationship Id="rId21" Type="http://schemas.openxmlformats.org/officeDocument/2006/relationships/hyperlink" Target="https://www.virginia-demographics.com/roanoke-county-demographics" TargetMode="External"/><Relationship Id="rId42" Type="http://schemas.openxmlformats.org/officeDocument/2006/relationships/hyperlink" Target="https://www.virginia-demographics.com/danville-city-county-demographics" TargetMode="External"/><Relationship Id="rId47" Type="http://schemas.openxmlformats.org/officeDocument/2006/relationships/hyperlink" Target="https://www.virginia-demographics.com/isle-of-wight-county-demographics" TargetMode="External"/><Relationship Id="rId63" Type="http://schemas.openxmlformats.org/officeDocument/2006/relationships/hyperlink" Target="https://www.virginia-demographics.com/dinwiddie-county-demographics" TargetMode="External"/><Relationship Id="rId68" Type="http://schemas.openxmlformats.org/officeDocument/2006/relationships/hyperlink" Target="https://www.virginia-demographics.com/salem-city-county-demographics" TargetMode="External"/><Relationship Id="rId84" Type="http://schemas.openxmlformats.org/officeDocument/2006/relationships/hyperlink" Target="https://www.virginia-demographics.com/southampton-county-demographics" TargetMode="External"/><Relationship Id="rId89" Type="http://schemas.openxmlformats.org/officeDocument/2006/relationships/hyperlink" Target="https://www.virginia-demographics.com/bristol-city-county-demographics" TargetMode="External"/><Relationship Id="rId16" Type="http://schemas.openxmlformats.org/officeDocument/2006/relationships/hyperlink" Target="https://www.virginia-demographics.com/albemarle-county-demographics" TargetMode="External"/><Relationship Id="rId11" Type="http://schemas.openxmlformats.org/officeDocument/2006/relationships/hyperlink" Target="https://www.virginia-demographics.com/newport-news-city-county-demographics" TargetMode="External"/><Relationship Id="rId32" Type="http://schemas.openxmlformats.org/officeDocument/2006/relationships/hyperlink" Target="https://www.virginia-demographics.com/franklin-county-demographics" TargetMode="External"/><Relationship Id="rId37" Type="http://schemas.openxmlformats.org/officeDocument/2006/relationships/hyperlink" Target="https://www.virginia-demographics.com/henry-county-demographics" TargetMode="External"/><Relationship Id="rId53" Type="http://schemas.openxmlformats.org/officeDocument/2006/relationships/hyperlink" Target="https://www.virginia-demographics.com/accomack-county-demographics" TargetMode="External"/><Relationship Id="rId58" Type="http://schemas.openxmlformats.org/officeDocument/2006/relationships/hyperlink" Target="https://www.virginia-demographics.com/smyth-county-demographics" TargetMode="External"/><Relationship Id="rId74" Type="http://schemas.openxmlformats.org/officeDocument/2006/relationships/hyperlink" Target="https://www.virginia-demographics.com/prince-edward-county-demographics" TargetMode="External"/><Relationship Id="rId79" Type="http://schemas.openxmlformats.org/officeDocument/2006/relationships/hyperlink" Target="https://www.virginia-demographics.com/scott-county-demographics" TargetMode="External"/><Relationship Id="rId102" Type="http://schemas.openxmlformats.org/officeDocument/2006/relationships/table" Target="../tables/table57.xml"/><Relationship Id="rId5" Type="http://schemas.openxmlformats.org/officeDocument/2006/relationships/hyperlink" Target="https://www.virginia-demographics.com/chesterfield-county-demographics" TargetMode="External"/><Relationship Id="rId90" Type="http://schemas.openxmlformats.org/officeDocument/2006/relationships/hyperlink" Target="https://www.virginia-demographics.com/king-william-county-demographics" TargetMode="External"/><Relationship Id="rId95" Type="http://schemas.openxmlformats.org/officeDocument/2006/relationships/hyperlink" Target="https://www.virginia-demographics.com/grayson-county-demographics" TargetMode="External"/><Relationship Id="rId22" Type="http://schemas.openxmlformats.org/officeDocument/2006/relationships/hyperlink" Target="https://www.virginia-demographics.com/suffolk-city-county-demographics" TargetMode="External"/><Relationship Id="rId27" Type="http://schemas.openxmlformats.org/officeDocument/2006/relationships/hyperlink" Target="https://www.virginia-demographics.com/james-city-county-demographics" TargetMode="External"/><Relationship Id="rId43" Type="http://schemas.openxmlformats.org/officeDocument/2006/relationships/hyperlink" Target="https://www.virginia-demographics.com/warren-county-demographics" TargetMode="External"/><Relationship Id="rId48" Type="http://schemas.openxmlformats.org/officeDocument/2006/relationships/hyperlink" Target="https://www.virginia-demographics.com/louisa-county-demographics" TargetMode="External"/><Relationship Id="rId64" Type="http://schemas.openxmlformats.org/officeDocument/2006/relationships/hyperlink" Target="https://www.virginia-demographics.com/winchester-city-county-demographics" TargetMode="External"/><Relationship Id="rId69" Type="http://schemas.openxmlformats.org/officeDocument/2006/relationships/hyperlink" Target="https://www.virginia-demographics.com/staunton-city-county-demographics" TargetMode="External"/><Relationship Id="rId80" Type="http://schemas.openxmlformats.org/officeDocument/2006/relationships/hyperlink" Target="https://www.virginia-demographics.com/buchanan-county-demographics" TargetMode="External"/><Relationship Id="rId85" Type="http://schemas.openxmlformats.org/officeDocument/2006/relationships/hyperlink" Target="https://www.virginia-demographics.com/patrick-county-demographics" TargetMode="External"/><Relationship Id="rId12" Type="http://schemas.openxmlformats.org/officeDocument/2006/relationships/hyperlink" Target="https://www.virginia-demographics.com/alexandria-city-county-demographics" TargetMode="External"/><Relationship Id="rId17" Type="http://schemas.openxmlformats.org/officeDocument/2006/relationships/hyperlink" Target="https://www.virginia-demographics.com/hanover-county-demographics" TargetMode="External"/><Relationship Id="rId25" Type="http://schemas.openxmlformats.org/officeDocument/2006/relationships/hyperlink" Target="https://www.virginia-demographics.com/lynchburg-city-county-demographics" TargetMode="External"/><Relationship Id="rId33" Type="http://schemas.openxmlformats.org/officeDocument/2006/relationships/hyperlink" Target="https://www.virginia-demographics.com/campbell-county-demographics" TargetMode="External"/><Relationship Id="rId38" Type="http://schemas.openxmlformats.org/officeDocument/2006/relationships/hyperlink" Target="https://www.virginia-demographics.com/charlottesville-city-county-demographics" TargetMode="External"/><Relationship Id="rId46" Type="http://schemas.openxmlformats.org/officeDocument/2006/relationships/hyperlink" Target="https://www.virginia-demographics.com/gloucester-county-demographics" TargetMode="External"/><Relationship Id="rId59" Type="http://schemas.openxmlformats.org/officeDocument/2006/relationships/hyperlink" Target="https://www.virginia-demographics.com/carroll-county-demographics" TargetMode="External"/><Relationship Id="rId67" Type="http://schemas.openxmlformats.org/officeDocument/2006/relationships/hyperlink" Target="https://www.virginia-demographics.com/king-george-county-demographics" TargetMode="External"/><Relationship Id="rId103" Type="http://schemas.openxmlformats.org/officeDocument/2006/relationships/table" Target="../tables/table58.xml"/><Relationship Id="rId20" Type="http://schemas.openxmlformats.org/officeDocument/2006/relationships/hyperlink" Target="https://www.virginia-demographics.com/portsmouth-city-county-demographics" TargetMode="External"/><Relationship Id="rId41" Type="http://schemas.openxmlformats.org/officeDocument/2006/relationships/hyperlink" Target="https://www.virginia-demographics.com/manassas-city-county-demographics" TargetMode="External"/><Relationship Id="rId54" Type="http://schemas.openxmlformats.org/officeDocument/2006/relationships/hyperlink" Target="https://www.virginia-demographics.com/amherst-county-demographics" TargetMode="External"/><Relationship Id="rId62" Type="http://schemas.openxmlformats.org/officeDocument/2006/relationships/hyperlink" Target="https://www.virginia-demographics.com/wythe-county-demographics" TargetMode="External"/><Relationship Id="rId70" Type="http://schemas.openxmlformats.org/officeDocument/2006/relationships/hyperlink" Target="https://www.virginia-demographics.com/page-county-demographics" TargetMode="External"/><Relationship Id="rId75" Type="http://schemas.openxmlformats.org/officeDocument/2006/relationships/hyperlink" Target="https://www.virginia-demographics.com/rockbridge-county-demographics" TargetMode="External"/><Relationship Id="rId83" Type="http://schemas.openxmlformats.org/officeDocument/2006/relationships/hyperlink" Target="https://www.virginia-demographics.com/radford-city-county-demographics" TargetMode="External"/><Relationship Id="rId88" Type="http://schemas.openxmlformats.org/officeDocument/2006/relationships/hyperlink" Target="https://www.virginia-demographics.com/buckingham-county-demographics" TargetMode="External"/><Relationship Id="rId91" Type="http://schemas.openxmlformats.org/officeDocument/2006/relationships/hyperlink" Target="https://www.virginia-demographics.com/giles-county-demographics" TargetMode="External"/><Relationship Id="rId96" Type="http://schemas.openxmlformats.org/officeDocument/2006/relationships/hyperlink" Target="https://www.virginia-demographics.com/nottoway-county-demographics" TargetMode="External"/><Relationship Id="rId1" Type="http://schemas.openxmlformats.org/officeDocument/2006/relationships/hyperlink" Target="https://www.virginia-demographics.com/fairfax-county-demographics" TargetMode="External"/><Relationship Id="rId6" Type="http://schemas.openxmlformats.org/officeDocument/2006/relationships/hyperlink" Target="https://www.virginia-demographics.com/henrico-county-demographics" TargetMode="External"/><Relationship Id="rId15" Type="http://schemas.openxmlformats.org/officeDocument/2006/relationships/hyperlink" Target="https://www.virginia-demographics.com/spotsylvania-county-demographics" TargetMode="External"/><Relationship Id="rId23" Type="http://schemas.openxmlformats.org/officeDocument/2006/relationships/hyperlink" Target="https://www.virginia-demographics.com/frederick-county-demographics" TargetMode="External"/><Relationship Id="rId28" Type="http://schemas.openxmlformats.org/officeDocument/2006/relationships/hyperlink" Target="https://www.virginia-demographics.com/augusta-county-demographics" TargetMode="External"/><Relationship Id="rId36" Type="http://schemas.openxmlformats.org/officeDocument/2006/relationships/hyperlink" Target="https://www.virginia-demographics.com/culpeper-county-demographics" TargetMode="External"/><Relationship Id="rId49" Type="http://schemas.openxmlformats.org/officeDocument/2006/relationships/hyperlink" Target="https://www.virginia-demographics.com/orange-county-demographics" TargetMode="External"/><Relationship Id="rId57" Type="http://schemas.openxmlformats.org/officeDocument/2006/relationships/hyperlink" Target="https://www.virginia-demographics.com/caroline-county-demographics" TargetMode="External"/><Relationship Id="rId10" Type="http://schemas.openxmlformats.org/officeDocument/2006/relationships/hyperlink" Target="https://www.virginia-demographics.com/richmond-city-county-demographics" TargetMode="External"/><Relationship Id="rId31" Type="http://schemas.openxmlformats.org/officeDocument/2006/relationships/hyperlink" Target="https://www.virginia-demographics.com/pittsylvania-county-demographics" TargetMode="External"/><Relationship Id="rId44" Type="http://schemas.openxmlformats.org/officeDocument/2006/relationships/hyperlink" Target="https://www.virginia-demographics.com/prince-george-county-demographics" TargetMode="External"/><Relationship Id="rId52" Type="http://schemas.openxmlformats.org/officeDocument/2006/relationships/hyperlink" Target="https://www.virginia-demographics.com/botetourt-county-demographics" TargetMode="External"/><Relationship Id="rId60" Type="http://schemas.openxmlformats.org/officeDocument/2006/relationships/hyperlink" Target="https://www.virginia-demographics.com/powhatan-county-demographics" TargetMode="External"/><Relationship Id="rId65" Type="http://schemas.openxmlformats.org/officeDocument/2006/relationships/hyperlink" Target="https://www.virginia-demographics.com/russell-county-demographics" TargetMode="External"/><Relationship Id="rId73" Type="http://schemas.openxmlformats.org/officeDocument/2006/relationships/hyperlink" Target="https://www.virginia-demographics.com/fairfax-city-county-demographics" TargetMode="External"/><Relationship Id="rId78" Type="http://schemas.openxmlformats.org/officeDocument/2006/relationships/hyperlink" Target="https://www.virginia-demographics.com/waynesboro-city-county-demographics" TargetMode="External"/><Relationship Id="rId81" Type="http://schemas.openxmlformats.org/officeDocument/2006/relationships/hyperlink" Target="https://www.virginia-demographics.com/greene-county-demographics" TargetMode="External"/><Relationship Id="rId86" Type="http://schemas.openxmlformats.org/officeDocument/2006/relationships/hyperlink" Target="https://www.virginia-demographics.com/manassas-park-city-county-demographics" TargetMode="External"/><Relationship Id="rId94" Type="http://schemas.openxmlformats.org/officeDocument/2006/relationships/hyperlink" Target="https://www.virginia-demographics.com/floyd-county-demographics" TargetMode="External"/><Relationship Id="rId99" Type="http://schemas.openxmlformats.org/officeDocument/2006/relationships/hyperlink" Target="https://www.virginia-demographics.com/nelson-county-demographics" TargetMode="External"/><Relationship Id="rId101" Type="http://schemas.openxmlformats.org/officeDocument/2006/relationships/table" Target="../tables/table56.xml"/><Relationship Id="rId4" Type="http://schemas.openxmlformats.org/officeDocument/2006/relationships/hyperlink" Target="https://www.virginia-demographics.com/loudoun-county-demographics" TargetMode="External"/><Relationship Id="rId9" Type="http://schemas.openxmlformats.org/officeDocument/2006/relationships/hyperlink" Target="https://www.virginia-demographics.com/arlington-county-demographics" TargetMode="External"/><Relationship Id="rId13" Type="http://schemas.openxmlformats.org/officeDocument/2006/relationships/hyperlink" Target="https://www.virginia-demographics.com/stafford-county-demographics" TargetMode="External"/><Relationship Id="rId18" Type="http://schemas.openxmlformats.org/officeDocument/2006/relationships/hyperlink" Target="https://www.virginia-demographics.com/roanoke-city-county-demographics" TargetMode="External"/><Relationship Id="rId39" Type="http://schemas.openxmlformats.org/officeDocument/2006/relationships/hyperlink" Target="https://www.virginia-demographics.com/shenandoah-county-demographics" TargetMode="External"/><Relationship Id="rId34" Type="http://schemas.openxmlformats.org/officeDocument/2006/relationships/hyperlink" Target="https://www.virginia-demographics.com/washington-county-demographics" TargetMode="External"/><Relationship Id="rId50" Type="http://schemas.openxmlformats.org/officeDocument/2006/relationships/hyperlink" Target="https://www.virginia-demographics.com/halifax-county-demographics" TargetMode="External"/><Relationship Id="rId55" Type="http://schemas.openxmlformats.org/officeDocument/2006/relationships/hyperlink" Target="https://www.virginia-demographics.com/petersburg-city-county-demographics" TargetMode="External"/><Relationship Id="rId76" Type="http://schemas.openxmlformats.org/officeDocument/2006/relationships/hyperlink" Target="https://www.virginia-demographics.com/hopewell-city-county-demographics" TargetMode="External"/><Relationship Id="rId97" Type="http://schemas.openxmlformats.org/officeDocument/2006/relationships/hyperlink" Target="https://www.virginia-demographics.com/williamsburg-city-county-demographics" TargetMode="External"/><Relationship Id="rId7" Type="http://schemas.openxmlformats.org/officeDocument/2006/relationships/hyperlink" Target="https://www.virginia-demographics.com/norfolk-city-county-demographics" TargetMode="External"/><Relationship Id="rId71" Type="http://schemas.openxmlformats.org/officeDocument/2006/relationships/hyperlink" Target="https://www.virginia-demographics.com/lee-county-demographics" TargetMode="External"/><Relationship Id="rId92" Type="http://schemas.openxmlformats.org/officeDocument/2006/relationships/hyperlink" Target="https://www.virginia-demographics.com/brunswick-county-demographics" TargetMode="External"/><Relationship Id="rId2" Type="http://schemas.openxmlformats.org/officeDocument/2006/relationships/hyperlink" Target="https://www.virginia-demographics.com/prince-william-county-demographics" TargetMode="External"/><Relationship Id="rId29" Type="http://schemas.openxmlformats.org/officeDocument/2006/relationships/hyperlink" Target="https://www.virginia-demographics.com/fauquier-county-demographics" TargetMode="External"/><Relationship Id="rId24" Type="http://schemas.openxmlformats.org/officeDocument/2006/relationships/hyperlink" Target="https://www.virginia-demographics.com/rockingham-county-demographics" TargetMode="External"/><Relationship Id="rId40" Type="http://schemas.openxmlformats.org/officeDocument/2006/relationships/hyperlink" Target="https://www.virginia-demographics.com/tazewell-county-demographics" TargetMode="External"/><Relationship Id="rId45" Type="http://schemas.openxmlformats.org/officeDocument/2006/relationships/hyperlink" Target="https://www.virginia-demographics.com/wise-county-demographics" TargetMode="External"/><Relationship Id="rId66" Type="http://schemas.openxmlformats.org/officeDocument/2006/relationships/hyperlink" Target="https://www.virginia-demographics.com/fluvanna-county-demographics" TargetMode="External"/><Relationship Id="rId87" Type="http://schemas.openxmlformats.org/officeDocument/2006/relationships/hyperlink" Target="https://www.virginia-demographics.com/colonial-heights-city-county-demographics" TargetMode="External"/><Relationship Id="rId61" Type="http://schemas.openxmlformats.org/officeDocument/2006/relationships/hyperlink" Target="https://www.virginia-demographics.com/fredericksburg-city-county-demographics" TargetMode="External"/><Relationship Id="rId82" Type="http://schemas.openxmlformats.org/officeDocument/2006/relationships/hyperlink" Target="https://www.virginia-demographics.com/westmoreland-county-demographics" TargetMode="External"/><Relationship Id="rId19" Type="http://schemas.openxmlformats.org/officeDocument/2006/relationships/hyperlink" Target="https://www.virginia-demographics.com/montgomery-county-demographics" TargetMode="External"/><Relationship Id="rId14" Type="http://schemas.openxmlformats.org/officeDocument/2006/relationships/hyperlink" Target="https://www.virginia-demographics.com/hampton-city-county-demographics" TargetMode="External"/><Relationship Id="rId30" Type="http://schemas.openxmlformats.org/officeDocument/2006/relationships/hyperlink" Target="https://www.virginia-demographics.com/york-county-demographics" TargetMode="External"/><Relationship Id="rId35" Type="http://schemas.openxmlformats.org/officeDocument/2006/relationships/hyperlink" Target="https://www.virginia-demographics.com/harrisonburg-city-county-demographics" TargetMode="External"/><Relationship Id="rId56" Type="http://schemas.openxmlformats.org/officeDocument/2006/relationships/hyperlink" Target="https://www.virginia-demographics.com/mecklenburg-county-demographics" TargetMode="External"/><Relationship Id="rId77" Type="http://schemas.openxmlformats.org/officeDocument/2006/relationships/hyperlink" Target="https://www.virginia-demographics.com/new-kent-county-demographics" TargetMode="External"/><Relationship Id="rId100" Type="http://schemas.openxmlformats.org/officeDocument/2006/relationships/hyperlink" Target="https://www.virginia-demographics.com/dickenson-county-demographics" TargetMode="External"/><Relationship Id="rId8" Type="http://schemas.openxmlformats.org/officeDocument/2006/relationships/hyperlink" Target="https://www.virginia-demographics.com/chesapeake-city-county-demographics" TargetMode="External"/><Relationship Id="rId51" Type="http://schemas.openxmlformats.org/officeDocument/2006/relationships/hyperlink" Target="https://www.virginia-demographics.com/pulaski-county-demographics" TargetMode="External"/><Relationship Id="rId72" Type="http://schemas.openxmlformats.org/officeDocument/2006/relationships/hyperlink" Target="https://www.virginia-demographics.com/goochland-county-demographics" TargetMode="External"/><Relationship Id="rId93" Type="http://schemas.openxmlformats.org/officeDocument/2006/relationships/hyperlink" Target="https://www.virginia-demographics.com/appomattox-county-demographics" TargetMode="External"/><Relationship Id="rId98" Type="http://schemas.openxmlformats.org/officeDocument/2006/relationships/hyperlink" Target="https://www.virginia-demographics.com/alleghany-county-demographics" TargetMode="External"/><Relationship Id="rId3" Type="http://schemas.openxmlformats.org/officeDocument/2006/relationships/hyperlink" Target="https://www.virginia-demographics.com/virginia-beach-city-county-demographics" TargetMode="External"/></Relationships>
</file>

<file path=xl/worksheets/_rels/sheet2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isconsin-demographics.com/columbia-county-demographics" TargetMode="External"/><Relationship Id="rId21" Type="http://schemas.openxmlformats.org/officeDocument/2006/relationships/hyperlink" Target="https://www.wisconsin-demographics.com/manitowoc-county-demographics" TargetMode="External"/><Relationship Id="rId42" Type="http://schemas.openxmlformats.org/officeDocument/2006/relationships/hyperlink" Target="https://www.wisconsin-demographics.com/vernon-county-demographics" TargetMode="External"/><Relationship Id="rId47" Type="http://schemas.openxmlformats.org/officeDocument/2006/relationships/hyperlink" Target="https://www.wisconsin-demographics.com/waushara-county-demographics" TargetMode="External"/><Relationship Id="rId63" Type="http://schemas.openxmlformats.org/officeDocument/2006/relationships/hyperlink" Target="https://www.wisconsin-demographics.com/burnett-county-demographics" TargetMode="External"/><Relationship Id="rId68" Type="http://schemas.openxmlformats.org/officeDocument/2006/relationships/hyperlink" Target="https://www.wisconsin-demographics.com/forest-county-demographics" TargetMode="External"/><Relationship Id="rId2" Type="http://schemas.openxmlformats.org/officeDocument/2006/relationships/hyperlink" Target="https://www.wisconsin-demographics.com/dane-county-demographics" TargetMode="External"/><Relationship Id="rId16" Type="http://schemas.openxmlformats.org/officeDocument/2006/relationships/hyperlink" Target="https://www.wisconsin-demographics.com/fond-du-lac-county-demographics" TargetMode="External"/><Relationship Id="rId29" Type="http://schemas.openxmlformats.org/officeDocument/2006/relationships/hyperlink" Target="https://www.wisconsin-demographics.com/calumet-county-demographics" TargetMode="External"/><Relationship Id="rId11" Type="http://schemas.openxmlformats.org/officeDocument/2006/relationships/hyperlink" Target="https://www.wisconsin-demographics.com/marathon-county-demographics" TargetMode="External"/><Relationship Id="rId24" Type="http://schemas.openxmlformats.org/officeDocument/2006/relationships/hyperlink" Target="https://www.wisconsin-demographics.com/chippewa-county-demographics" TargetMode="External"/><Relationship Id="rId32" Type="http://schemas.openxmlformats.org/officeDocument/2006/relationships/hyperlink" Target="https://www.wisconsin-demographics.com/dunn-county-demographics" TargetMode="External"/><Relationship Id="rId37" Type="http://schemas.openxmlformats.org/officeDocument/2006/relationships/hyperlink" Target="https://www.wisconsin-demographics.com/marinette-county-demographics" TargetMode="External"/><Relationship Id="rId40" Type="http://schemas.openxmlformats.org/officeDocument/2006/relationships/hyperlink" Target="https://www.wisconsin-demographics.com/oneida-county-demographics" TargetMode="External"/><Relationship Id="rId45" Type="http://schemas.openxmlformats.org/officeDocument/2006/relationships/hyperlink" Target="https://www.wisconsin-demographics.com/door-county-demographics" TargetMode="External"/><Relationship Id="rId53" Type="http://schemas.openxmlformats.org/officeDocument/2006/relationships/hyperlink" Target="https://www.wisconsin-demographics.com/adams-county-demographics" TargetMode="External"/><Relationship Id="rId58" Type="http://schemas.openxmlformats.org/officeDocument/2006/relationships/hyperlink" Target="https://www.wisconsin-demographics.com/sawyer-county-demographics" TargetMode="External"/><Relationship Id="rId66" Type="http://schemas.openxmlformats.org/officeDocument/2006/relationships/hyperlink" Target="https://www.wisconsin-demographics.com/price-county-demographics" TargetMode="External"/><Relationship Id="rId74" Type="http://schemas.openxmlformats.org/officeDocument/2006/relationships/table" Target="../tables/table60.xml"/><Relationship Id="rId5" Type="http://schemas.openxmlformats.org/officeDocument/2006/relationships/hyperlink" Target="https://www.wisconsin-demographics.com/racine-county-demographics" TargetMode="External"/><Relationship Id="rId61" Type="http://schemas.openxmlformats.org/officeDocument/2006/relationships/hyperlink" Target="https://www.wisconsin-demographics.com/ashland-county-demographics" TargetMode="External"/><Relationship Id="rId19" Type="http://schemas.openxmlformats.org/officeDocument/2006/relationships/hyperlink" Target="https://www.wisconsin-demographics.com/dodge-county-demographics" TargetMode="External"/><Relationship Id="rId14" Type="http://schemas.openxmlformats.org/officeDocument/2006/relationships/hyperlink" Target="https://www.wisconsin-demographics.com/eau-claire-county-demographics" TargetMode="External"/><Relationship Id="rId22" Type="http://schemas.openxmlformats.org/officeDocument/2006/relationships/hyperlink" Target="https://www.wisconsin-demographics.com/wood-county-demographics" TargetMode="External"/><Relationship Id="rId27" Type="http://schemas.openxmlformats.org/officeDocument/2006/relationships/hyperlink" Target="https://www.wisconsin-demographics.com/grant-county-demographics" TargetMode="External"/><Relationship Id="rId30" Type="http://schemas.openxmlformats.org/officeDocument/2006/relationships/hyperlink" Target="https://www.wisconsin-demographics.com/monroe-county-demographics" TargetMode="External"/><Relationship Id="rId35" Type="http://schemas.openxmlformats.org/officeDocument/2006/relationships/hyperlink" Target="https://www.wisconsin-demographics.com/pierce-county-demographics" TargetMode="External"/><Relationship Id="rId43" Type="http://schemas.openxmlformats.org/officeDocument/2006/relationships/hyperlink" Target="https://www.wisconsin-demographics.com/trempealeau-county-demographics" TargetMode="External"/><Relationship Id="rId48" Type="http://schemas.openxmlformats.org/officeDocument/2006/relationships/hyperlink" Target="https://www.wisconsin-demographics.com/iowa-county-demographics" TargetMode="External"/><Relationship Id="rId56" Type="http://schemas.openxmlformats.org/officeDocument/2006/relationships/hyperlink" Target="https://www.wisconsin-demographics.com/richland-county-demographics" TargetMode="External"/><Relationship Id="rId64" Type="http://schemas.openxmlformats.org/officeDocument/2006/relationships/hyperlink" Target="https://www.wisconsin-demographics.com/bayfield-county-demographics" TargetMode="External"/><Relationship Id="rId69" Type="http://schemas.openxmlformats.org/officeDocument/2006/relationships/hyperlink" Target="https://www.wisconsin-demographics.com/pepin-county-demographics" TargetMode="External"/><Relationship Id="rId8" Type="http://schemas.openxmlformats.org/officeDocument/2006/relationships/hyperlink" Target="https://www.wisconsin-demographics.com/kenosha-county-demographics" TargetMode="External"/><Relationship Id="rId51" Type="http://schemas.openxmlformats.org/officeDocument/2006/relationships/hyperlink" Target="https://www.wisconsin-demographics.com/kewaunee-county-demographics" TargetMode="External"/><Relationship Id="rId72" Type="http://schemas.openxmlformats.org/officeDocument/2006/relationships/hyperlink" Target="https://www.wisconsin-demographics.com/florence-county-demographics" TargetMode="External"/><Relationship Id="rId3" Type="http://schemas.openxmlformats.org/officeDocument/2006/relationships/hyperlink" Target="https://www.wisconsin-demographics.com/waukesha-county-demographics" TargetMode="External"/><Relationship Id="rId12" Type="http://schemas.openxmlformats.org/officeDocument/2006/relationships/hyperlink" Target="https://www.wisconsin-demographics.com/la-crosse-county-demographics" TargetMode="External"/><Relationship Id="rId17" Type="http://schemas.openxmlformats.org/officeDocument/2006/relationships/hyperlink" Target="https://www.wisconsin-demographics.com/st-croix-county-demographics" TargetMode="External"/><Relationship Id="rId25" Type="http://schemas.openxmlformats.org/officeDocument/2006/relationships/hyperlink" Target="https://www.wisconsin-demographics.com/sauk-county-demographics" TargetMode="External"/><Relationship Id="rId33" Type="http://schemas.openxmlformats.org/officeDocument/2006/relationships/hyperlink" Target="https://www.wisconsin-demographics.com/polk-county-demographics" TargetMode="External"/><Relationship Id="rId38" Type="http://schemas.openxmlformats.org/officeDocument/2006/relationships/hyperlink" Target="https://www.wisconsin-demographics.com/oconto-county-demographics" TargetMode="External"/><Relationship Id="rId46" Type="http://schemas.openxmlformats.org/officeDocument/2006/relationships/hyperlink" Target="https://www.wisconsin-demographics.com/juneau-county-demographics" TargetMode="External"/><Relationship Id="rId59" Type="http://schemas.openxmlformats.org/officeDocument/2006/relationships/hyperlink" Target="https://www.wisconsin-demographics.com/crawford-county-demographics" TargetMode="External"/><Relationship Id="rId67" Type="http://schemas.openxmlformats.org/officeDocument/2006/relationships/hyperlink" Target="https://www.wisconsin-demographics.com/buffalo-county-demographics" TargetMode="External"/><Relationship Id="rId20" Type="http://schemas.openxmlformats.org/officeDocument/2006/relationships/hyperlink" Target="https://www.wisconsin-demographics.com/jefferson-county-demographics" TargetMode="External"/><Relationship Id="rId41" Type="http://schemas.openxmlformats.org/officeDocument/2006/relationships/hyperlink" Target="https://www.wisconsin-demographics.com/clark-county-demographics" TargetMode="External"/><Relationship Id="rId54" Type="http://schemas.openxmlformats.org/officeDocument/2006/relationships/hyperlink" Target="https://www.wisconsin-demographics.com/langlade-county-demographics" TargetMode="External"/><Relationship Id="rId62" Type="http://schemas.openxmlformats.org/officeDocument/2006/relationships/hyperlink" Target="https://www.wisconsin-demographics.com/marquette-county-demographics" TargetMode="External"/><Relationship Id="rId70" Type="http://schemas.openxmlformats.org/officeDocument/2006/relationships/hyperlink" Target="https://www.wisconsin-demographics.com/iron-county-demographics" TargetMode="External"/><Relationship Id="rId75" Type="http://schemas.openxmlformats.org/officeDocument/2006/relationships/table" Target="../tables/table61.xml"/><Relationship Id="rId1" Type="http://schemas.openxmlformats.org/officeDocument/2006/relationships/hyperlink" Target="https://www.wisconsin-demographics.com/milwaukee-county-demographics" TargetMode="External"/><Relationship Id="rId6" Type="http://schemas.openxmlformats.org/officeDocument/2006/relationships/hyperlink" Target="https://www.wisconsin-demographics.com/outagamie-county-demographics" TargetMode="External"/><Relationship Id="rId15" Type="http://schemas.openxmlformats.org/officeDocument/2006/relationships/hyperlink" Target="https://www.wisconsin-demographics.com/walworth-county-demographics" TargetMode="External"/><Relationship Id="rId23" Type="http://schemas.openxmlformats.org/officeDocument/2006/relationships/hyperlink" Target="https://www.wisconsin-demographics.com/portage-county-demographics" TargetMode="External"/><Relationship Id="rId28" Type="http://schemas.openxmlformats.org/officeDocument/2006/relationships/hyperlink" Target="https://www.wisconsin-demographics.com/waupaca-county-demographics" TargetMode="External"/><Relationship Id="rId36" Type="http://schemas.openxmlformats.org/officeDocument/2006/relationships/hyperlink" Target="https://www.wisconsin-demographics.com/shawano-county-demographics" TargetMode="External"/><Relationship Id="rId49" Type="http://schemas.openxmlformats.org/officeDocument/2006/relationships/hyperlink" Target="https://www.wisconsin-demographics.com/vilas-county-demographics" TargetMode="External"/><Relationship Id="rId57" Type="http://schemas.openxmlformats.org/officeDocument/2006/relationships/hyperlink" Target="https://www.wisconsin-demographics.com/lafayette-county-demographics" TargetMode="External"/><Relationship Id="rId10" Type="http://schemas.openxmlformats.org/officeDocument/2006/relationships/hyperlink" Target="https://www.wisconsin-demographics.com/washington-county-demographics" TargetMode="External"/><Relationship Id="rId31" Type="http://schemas.openxmlformats.org/officeDocument/2006/relationships/hyperlink" Target="https://www.wisconsin-demographics.com/barron-county-demographics" TargetMode="External"/><Relationship Id="rId44" Type="http://schemas.openxmlformats.org/officeDocument/2006/relationships/hyperlink" Target="https://www.wisconsin-demographics.com/lincoln-county-demographics" TargetMode="External"/><Relationship Id="rId52" Type="http://schemas.openxmlformats.org/officeDocument/2006/relationships/hyperlink" Target="https://www.wisconsin-demographics.com/taylor-county-demographics" TargetMode="External"/><Relationship Id="rId60" Type="http://schemas.openxmlformats.org/officeDocument/2006/relationships/hyperlink" Target="https://www.wisconsin-demographics.com/washburn-county-demographics" TargetMode="External"/><Relationship Id="rId65" Type="http://schemas.openxmlformats.org/officeDocument/2006/relationships/hyperlink" Target="https://www.wisconsin-demographics.com/rusk-county-demographics" TargetMode="External"/><Relationship Id="rId73" Type="http://schemas.openxmlformats.org/officeDocument/2006/relationships/table" Target="../tables/table59.xml"/><Relationship Id="rId4" Type="http://schemas.openxmlformats.org/officeDocument/2006/relationships/hyperlink" Target="https://www.wisconsin-demographics.com/brown-county-demographics" TargetMode="External"/><Relationship Id="rId9" Type="http://schemas.openxmlformats.org/officeDocument/2006/relationships/hyperlink" Target="https://www.wisconsin-demographics.com/rock-county-demographics" TargetMode="External"/><Relationship Id="rId13" Type="http://schemas.openxmlformats.org/officeDocument/2006/relationships/hyperlink" Target="https://www.wisconsin-demographics.com/sheboygan-county-demographics" TargetMode="External"/><Relationship Id="rId18" Type="http://schemas.openxmlformats.org/officeDocument/2006/relationships/hyperlink" Target="https://www.wisconsin-demographics.com/ozaukee-county-demographics" TargetMode="External"/><Relationship Id="rId39" Type="http://schemas.openxmlformats.org/officeDocument/2006/relationships/hyperlink" Target="https://www.wisconsin-demographics.com/green-county-demographics" TargetMode="External"/><Relationship Id="rId34" Type="http://schemas.openxmlformats.org/officeDocument/2006/relationships/hyperlink" Target="https://www.wisconsin-demographics.com/douglas-county-demographics" TargetMode="External"/><Relationship Id="rId50" Type="http://schemas.openxmlformats.org/officeDocument/2006/relationships/hyperlink" Target="https://www.wisconsin-demographics.com/jackson-county-demographics" TargetMode="External"/><Relationship Id="rId55" Type="http://schemas.openxmlformats.org/officeDocument/2006/relationships/hyperlink" Target="https://www.wisconsin-demographics.com/green-lake-county-demographics" TargetMode="External"/><Relationship Id="rId7" Type="http://schemas.openxmlformats.org/officeDocument/2006/relationships/hyperlink" Target="https://www.wisconsin-demographics.com/winnebago-county-demographics" TargetMode="External"/><Relationship Id="rId71" Type="http://schemas.openxmlformats.org/officeDocument/2006/relationships/hyperlink" Target="https://www.wisconsin-demographics.com/menominee-county-demographics" TargetMode="External"/></Relationships>
</file>

<file path=xl/worksheets/_rels/sheet2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abama-demographics.com/coffee-county-demographics" TargetMode="External"/><Relationship Id="rId21" Type="http://schemas.openxmlformats.org/officeDocument/2006/relationships/hyperlink" Target="https://www.alabama-demographics.com/walker-county-demographics" TargetMode="External"/><Relationship Id="rId42" Type="http://schemas.openxmlformats.org/officeDocument/2006/relationships/hyperlink" Target="https://www.alabama-demographics.com/clarke-county-demographics" TargetMode="External"/><Relationship Id="rId47" Type="http://schemas.openxmlformats.org/officeDocument/2006/relationships/hyperlink" Target="https://www.alabama-demographics.com/pickens-county-demographics" TargetMode="External"/><Relationship Id="rId63" Type="http://schemas.openxmlformats.org/officeDocument/2006/relationships/hyperlink" Target="https://www.alabama-demographics.com/wilcox-county-demographics" TargetMode="External"/><Relationship Id="rId68" Type="http://schemas.openxmlformats.org/officeDocument/2006/relationships/table" Target="../tables/table62.xml"/><Relationship Id="rId7" Type="http://schemas.openxmlformats.org/officeDocument/2006/relationships/hyperlink" Target="https://www.alabama-demographics.com/tuscaloosa-county-demographics" TargetMode="External"/><Relationship Id="rId71" Type="http://schemas.openxmlformats.org/officeDocument/2006/relationships/table" Target="../tables/table65.xml"/><Relationship Id="rId2" Type="http://schemas.openxmlformats.org/officeDocument/2006/relationships/hyperlink" Target="https://www.alabama-demographics.com/mobile-county-demographics" TargetMode="External"/><Relationship Id="rId16" Type="http://schemas.openxmlformats.org/officeDocument/2006/relationships/hyperlink" Target="https://www.alabama-demographics.com/st-clair-county-demographics" TargetMode="External"/><Relationship Id="rId29" Type="http://schemas.openxmlformats.org/officeDocument/2006/relationships/hyperlink" Target="https://www.alabama-demographics.com/chilton-county-demographics" TargetMode="External"/><Relationship Id="rId11" Type="http://schemas.openxmlformats.org/officeDocument/2006/relationships/hyperlink" Target="https://www.alabama-demographics.com/houston-county-demographics" TargetMode="External"/><Relationship Id="rId24" Type="http://schemas.openxmlformats.org/officeDocument/2006/relationships/hyperlink" Target="https://www.alabama-demographics.com/autauga-county-demographics" TargetMode="External"/><Relationship Id="rId32" Type="http://schemas.openxmlformats.org/officeDocument/2006/relationships/hyperlink" Target="https://www.alabama-demographics.com/covington-county-demographics" TargetMode="External"/><Relationship Id="rId37" Type="http://schemas.openxmlformats.org/officeDocument/2006/relationships/hyperlink" Target="https://www.alabama-demographics.com/franklin-county-demographics" TargetMode="External"/><Relationship Id="rId40" Type="http://schemas.openxmlformats.org/officeDocument/2006/relationships/hyperlink" Target="https://www.alabama-demographics.com/cherokee-county-demographics" TargetMode="External"/><Relationship Id="rId45" Type="http://schemas.openxmlformats.org/officeDocument/2006/relationships/hyperlink" Target="https://www.alabama-demographics.com/bibb-county-demographics" TargetMode="External"/><Relationship Id="rId53" Type="http://schemas.openxmlformats.org/officeDocument/2006/relationships/hyperlink" Target="https://www.alabama-demographics.com/washington-county-demographics" TargetMode="External"/><Relationship Id="rId58" Type="http://schemas.openxmlformats.org/officeDocument/2006/relationships/hyperlink" Target="https://www.alabama-demographics.com/clay-county-demographics" TargetMode="External"/><Relationship Id="rId66" Type="http://schemas.openxmlformats.org/officeDocument/2006/relationships/hyperlink" Target="https://www.alabama-demographics.com/perry-county-demographics" TargetMode="External"/><Relationship Id="rId5" Type="http://schemas.openxmlformats.org/officeDocument/2006/relationships/hyperlink" Target="https://www.alabama-demographics.com/baldwin-county-demographics" TargetMode="External"/><Relationship Id="rId61" Type="http://schemas.openxmlformats.org/officeDocument/2006/relationships/hyperlink" Target="https://www.alabama-demographics.com/conecuh-county-demographics" TargetMode="External"/><Relationship Id="rId19" Type="http://schemas.openxmlformats.org/officeDocument/2006/relationships/hyperlink" Target="https://www.alabama-demographics.com/talladega-county-demographics" TargetMode="External"/><Relationship Id="rId14" Type="http://schemas.openxmlformats.org/officeDocument/2006/relationships/hyperlink" Target="https://www.alabama-demographics.com/marshall-county-demographics" TargetMode="External"/><Relationship Id="rId22" Type="http://schemas.openxmlformats.org/officeDocument/2006/relationships/hyperlink" Target="https://www.alabama-demographics.com/russell-county-demographics" TargetMode="External"/><Relationship Id="rId27" Type="http://schemas.openxmlformats.org/officeDocument/2006/relationships/hyperlink" Target="https://www.alabama-demographics.com/jackson-county-demographics" TargetMode="External"/><Relationship Id="rId30" Type="http://schemas.openxmlformats.org/officeDocument/2006/relationships/hyperlink" Target="https://www.alabama-demographics.com/tallapoosa-county-demographics" TargetMode="External"/><Relationship Id="rId35" Type="http://schemas.openxmlformats.org/officeDocument/2006/relationships/hyperlink" Target="https://www.alabama-demographics.com/pike-county-demographics" TargetMode="External"/><Relationship Id="rId43" Type="http://schemas.openxmlformats.org/officeDocument/2006/relationships/hyperlink" Target="https://www.alabama-demographics.com/winston-county-demographics" TargetMode="External"/><Relationship Id="rId48" Type="http://schemas.openxmlformats.org/officeDocument/2006/relationships/hyperlink" Target="https://www.alabama-demographics.com/butler-county-demographics" TargetMode="External"/><Relationship Id="rId56" Type="http://schemas.openxmlformats.org/officeDocument/2006/relationships/hyperlink" Target="https://www.alabama-demographics.com/lamar-county-demographics" TargetMode="External"/><Relationship Id="rId64" Type="http://schemas.openxmlformats.org/officeDocument/2006/relationships/hyperlink" Target="https://www.alabama-demographics.com/bullock-county-demographics" TargetMode="External"/><Relationship Id="rId69" Type="http://schemas.openxmlformats.org/officeDocument/2006/relationships/table" Target="../tables/table63.xml"/><Relationship Id="rId8" Type="http://schemas.openxmlformats.org/officeDocument/2006/relationships/hyperlink" Target="https://www.alabama-demographics.com/lee-county-demographics" TargetMode="External"/><Relationship Id="rId51" Type="http://schemas.openxmlformats.org/officeDocument/2006/relationships/hyperlink" Target="https://www.alabama-demographics.com/henry-county-demographics" TargetMode="External"/><Relationship Id="rId3" Type="http://schemas.openxmlformats.org/officeDocument/2006/relationships/hyperlink" Target="https://www.alabama-demographics.com/madison-county-demographics" TargetMode="External"/><Relationship Id="rId12" Type="http://schemas.openxmlformats.org/officeDocument/2006/relationships/hyperlink" Target="https://www.alabama-demographics.com/etowah-county-demographics" TargetMode="External"/><Relationship Id="rId17" Type="http://schemas.openxmlformats.org/officeDocument/2006/relationships/hyperlink" Target="https://www.alabama-demographics.com/cullman-county-demographics" TargetMode="External"/><Relationship Id="rId25" Type="http://schemas.openxmlformats.org/officeDocument/2006/relationships/hyperlink" Target="https://www.alabama-demographics.com/colbert-county-demographics" TargetMode="External"/><Relationship Id="rId33" Type="http://schemas.openxmlformats.org/officeDocument/2006/relationships/hyperlink" Target="https://www.alabama-demographics.com/escambia-county-demographics" TargetMode="External"/><Relationship Id="rId38" Type="http://schemas.openxmlformats.org/officeDocument/2006/relationships/hyperlink" Target="https://www.alabama-demographics.com/marion-county-demographics" TargetMode="External"/><Relationship Id="rId46" Type="http://schemas.openxmlformats.org/officeDocument/2006/relationships/hyperlink" Target="https://www.alabama-demographics.com/monroe-county-demographics" TargetMode="External"/><Relationship Id="rId59" Type="http://schemas.openxmlformats.org/officeDocument/2006/relationships/hyperlink" Target="https://www.alabama-demographics.com/choctaw-county-demographics" TargetMode="External"/><Relationship Id="rId67" Type="http://schemas.openxmlformats.org/officeDocument/2006/relationships/hyperlink" Target="https://www.alabama-demographics.com/greene-county-demographics" TargetMode="External"/><Relationship Id="rId20" Type="http://schemas.openxmlformats.org/officeDocument/2006/relationships/hyperlink" Target="https://www.alabama-demographics.com/dekalb-county-demographics" TargetMode="External"/><Relationship Id="rId41" Type="http://schemas.openxmlformats.org/officeDocument/2006/relationships/hyperlink" Target="https://www.alabama-demographics.com/barbour-county-demographics" TargetMode="External"/><Relationship Id="rId54" Type="http://schemas.openxmlformats.org/officeDocument/2006/relationships/hyperlink" Target="https://www.alabama-demographics.com/cleburne-county-demographics" TargetMode="External"/><Relationship Id="rId62" Type="http://schemas.openxmlformats.org/officeDocument/2006/relationships/hyperlink" Target="https://www.alabama-demographics.com/coosa-county-demographics" TargetMode="External"/><Relationship Id="rId70" Type="http://schemas.openxmlformats.org/officeDocument/2006/relationships/table" Target="../tables/table64.xml"/><Relationship Id="rId1" Type="http://schemas.openxmlformats.org/officeDocument/2006/relationships/hyperlink" Target="https://www.alabama-demographics.com/jefferson-county-demographics" TargetMode="External"/><Relationship Id="rId6" Type="http://schemas.openxmlformats.org/officeDocument/2006/relationships/hyperlink" Target="https://www.alabama-demographics.com/shelby-county-demographics" TargetMode="External"/><Relationship Id="rId15" Type="http://schemas.openxmlformats.org/officeDocument/2006/relationships/hyperlink" Target="https://www.alabama-demographics.com/lauderdale-county-demographics" TargetMode="External"/><Relationship Id="rId23" Type="http://schemas.openxmlformats.org/officeDocument/2006/relationships/hyperlink" Target="https://www.alabama-demographics.com/blount-county-demographics" TargetMode="External"/><Relationship Id="rId28" Type="http://schemas.openxmlformats.org/officeDocument/2006/relationships/hyperlink" Target="https://www.alabama-demographics.com/dale-county-demographics" TargetMode="External"/><Relationship Id="rId36" Type="http://schemas.openxmlformats.org/officeDocument/2006/relationships/hyperlink" Target="https://www.alabama-demographics.com/lawrence-county-demographics" TargetMode="External"/><Relationship Id="rId49" Type="http://schemas.openxmlformats.org/officeDocument/2006/relationships/hyperlink" Target="https://www.alabama-demographics.com/marengo-county-demographics" TargetMode="External"/><Relationship Id="rId57" Type="http://schemas.openxmlformats.org/officeDocument/2006/relationships/hyperlink" Target="https://www.alabama-demographics.com/crenshaw-county-demographics" TargetMode="External"/><Relationship Id="rId10" Type="http://schemas.openxmlformats.org/officeDocument/2006/relationships/hyperlink" Target="https://www.alabama-demographics.com/calhoun-county-demographics" TargetMode="External"/><Relationship Id="rId31" Type="http://schemas.openxmlformats.org/officeDocument/2006/relationships/hyperlink" Target="https://www.alabama-demographics.com/dallas-county-demographics" TargetMode="External"/><Relationship Id="rId44" Type="http://schemas.openxmlformats.org/officeDocument/2006/relationships/hyperlink" Target="https://www.alabama-demographics.com/randolph-county-demographics" TargetMode="External"/><Relationship Id="rId52" Type="http://schemas.openxmlformats.org/officeDocument/2006/relationships/hyperlink" Target="https://www.alabama-demographics.com/fayette-county-demographics" TargetMode="External"/><Relationship Id="rId60" Type="http://schemas.openxmlformats.org/officeDocument/2006/relationships/hyperlink" Target="https://www.alabama-demographics.com/sumter-county-demographics" TargetMode="External"/><Relationship Id="rId65" Type="http://schemas.openxmlformats.org/officeDocument/2006/relationships/hyperlink" Target="https://www.alabama-demographics.com/lowndes-county-demographics" TargetMode="External"/><Relationship Id="rId4" Type="http://schemas.openxmlformats.org/officeDocument/2006/relationships/hyperlink" Target="https://www.alabama-demographics.com/montgomery-county-demographics" TargetMode="External"/><Relationship Id="rId9" Type="http://schemas.openxmlformats.org/officeDocument/2006/relationships/hyperlink" Target="https://www.alabama-demographics.com/morgan-county-demographics" TargetMode="External"/><Relationship Id="rId13" Type="http://schemas.openxmlformats.org/officeDocument/2006/relationships/hyperlink" Target="https://www.alabama-demographics.com/limestone-county-demographics" TargetMode="External"/><Relationship Id="rId18" Type="http://schemas.openxmlformats.org/officeDocument/2006/relationships/hyperlink" Target="https://www.alabama-demographics.com/elmore-county-demographics" TargetMode="External"/><Relationship Id="rId39" Type="http://schemas.openxmlformats.org/officeDocument/2006/relationships/hyperlink" Target="https://www.alabama-demographics.com/geneva-county-demographics" TargetMode="External"/><Relationship Id="rId34" Type="http://schemas.openxmlformats.org/officeDocument/2006/relationships/hyperlink" Target="https://www.alabama-demographics.com/chambers-county-demographics" TargetMode="External"/><Relationship Id="rId50" Type="http://schemas.openxmlformats.org/officeDocument/2006/relationships/hyperlink" Target="https://www.alabama-demographics.com/macon-county-demographics" TargetMode="External"/><Relationship Id="rId55" Type="http://schemas.openxmlformats.org/officeDocument/2006/relationships/hyperlink" Target="https://www.alabama-demographics.com/hale-county-demographics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izona-demographics.com/cochise-county-demographics" TargetMode="External"/><Relationship Id="rId13" Type="http://schemas.openxmlformats.org/officeDocument/2006/relationships/hyperlink" Target="https://www.arizona-demographics.com/graham-county-demographics" TargetMode="External"/><Relationship Id="rId3" Type="http://schemas.openxmlformats.org/officeDocument/2006/relationships/hyperlink" Target="https://www.arizona-demographics.com/pinal-county-demographics" TargetMode="External"/><Relationship Id="rId7" Type="http://schemas.openxmlformats.org/officeDocument/2006/relationships/hyperlink" Target="https://www.arizona-demographics.com/coconino-county-demographics" TargetMode="External"/><Relationship Id="rId12" Type="http://schemas.openxmlformats.org/officeDocument/2006/relationships/hyperlink" Target="https://www.arizona-demographics.com/santa-cruz-county-demographics" TargetMode="External"/><Relationship Id="rId17" Type="http://schemas.openxmlformats.org/officeDocument/2006/relationships/table" Target="../tables/table67.xml"/><Relationship Id="rId2" Type="http://schemas.openxmlformats.org/officeDocument/2006/relationships/hyperlink" Target="https://www.arizona-demographics.com/pima-county-demographics" TargetMode="External"/><Relationship Id="rId16" Type="http://schemas.openxmlformats.org/officeDocument/2006/relationships/table" Target="../tables/table66.xml"/><Relationship Id="rId1" Type="http://schemas.openxmlformats.org/officeDocument/2006/relationships/hyperlink" Target="https://www.arizona-demographics.com/maricopa-county-demographics" TargetMode="External"/><Relationship Id="rId6" Type="http://schemas.openxmlformats.org/officeDocument/2006/relationships/hyperlink" Target="https://www.arizona-demographics.com/mohave-county-demographics" TargetMode="External"/><Relationship Id="rId11" Type="http://schemas.openxmlformats.org/officeDocument/2006/relationships/hyperlink" Target="https://www.arizona-demographics.com/gila-county-demographics" TargetMode="External"/><Relationship Id="rId5" Type="http://schemas.openxmlformats.org/officeDocument/2006/relationships/hyperlink" Target="https://www.arizona-demographics.com/yuma-county-demographics" TargetMode="External"/><Relationship Id="rId15" Type="http://schemas.openxmlformats.org/officeDocument/2006/relationships/hyperlink" Target="https://www.arizona-demographics.com/greenlee-county-demographics" TargetMode="External"/><Relationship Id="rId10" Type="http://schemas.openxmlformats.org/officeDocument/2006/relationships/hyperlink" Target="https://www.arizona-demographics.com/apache-county-demographics" TargetMode="External"/><Relationship Id="rId4" Type="http://schemas.openxmlformats.org/officeDocument/2006/relationships/hyperlink" Target="https://www.arizona-demographics.com/yavapai-county-demographics" TargetMode="External"/><Relationship Id="rId9" Type="http://schemas.openxmlformats.org/officeDocument/2006/relationships/hyperlink" Target="https://www.arizona-demographics.com/navajo-county-demographics" TargetMode="External"/><Relationship Id="rId14" Type="http://schemas.openxmlformats.org/officeDocument/2006/relationships/hyperlink" Target="https://www.arizona-demographics.com/la-paz-county-demographics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lifornia-demographics.com/ventura-county-demographics" TargetMode="External"/><Relationship Id="rId18" Type="http://schemas.openxmlformats.org/officeDocument/2006/relationships/hyperlink" Target="https://www.california-demographics.com/tulare-county-demographics" TargetMode="External"/><Relationship Id="rId26" Type="http://schemas.openxmlformats.org/officeDocument/2006/relationships/hyperlink" Target="https://www.california-demographics.com/marin-county-demographics" TargetMode="External"/><Relationship Id="rId39" Type="http://schemas.openxmlformats.org/officeDocument/2006/relationships/hyperlink" Target="https://www.california-demographics.com/yuba-county-demographics" TargetMode="External"/><Relationship Id="rId21" Type="http://schemas.openxmlformats.org/officeDocument/2006/relationships/hyperlink" Target="https://www.california-demographics.com/monterey-county-demographics" TargetMode="External"/><Relationship Id="rId34" Type="http://schemas.openxmlformats.org/officeDocument/2006/relationships/hyperlink" Target="https://www.california-demographics.com/napa-county-demographics" TargetMode="External"/><Relationship Id="rId42" Type="http://schemas.openxmlformats.org/officeDocument/2006/relationships/hyperlink" Target="https://www.california-demographics.com/san-benito-county-demographics" TargetMode="External"/><Relationship Id="rId47" Type="http://schemas.openxmlformats.org/officeDocument/2006/relationships/hyperlink" Target="https://www.california-demographics.com/lassen-county-demographics" TargetMode="External"/><Relationship Id="rId50" Type="http://schemas.openxmlformats.org/officeDocument/2006/relationships/hyperlink" Target="https://www.california-demographics.com/colusa-county-demographics" TargetMode="External"/><Relationship Id="rId55" Type="http://schemas.openxmlformats.org/officeDocument/2006/relationships/hyperlink" Target="https://www.california-demographics.com/trinity-county-demographics" TargetMode="External"/><Relationship Id="rId7" Type="http://schemas.openxmlformats.org/officeDocument/2006/relationships/hyperlink" Target="https://www.california-demographics.com/alameda-county-demographics" TargetMode="External"/><Relationship Id="rId2" Type="http://schemas.openxmlformats.org/officeDocument/2006/relationships/hyperlink" Target="https://www.california-demographics.com/san-diego-county-demographics" TargetMode="External"/><Relationship Id="rId16" Type="http://schemas.openxmlformats.org/officeDocument/2006/relationships/hyperlink" Target="https://www.california-demographics.com/stanislaus-county-demographics" TargetMode="External"/><Relationship Id="rId29" Type="http://schemas.openxmlformats.org/officeDocument/2006/relationships/hyperlink" Target="https://www.california-demographics.com/el-dorado-county-demographics" TargetMode="External"/><Relationship Id="rId11" Type="http://schemas.openxmlformats.org/officeDocument/2006/relationships/hyperlink" Target="https://www.california-demographics.com/kern-county-demographics" TargetMode="External"/><Relationship Id="rId24" Type="http://schemas.openxmlformats.org/officeDocument/2006/relationships/hyperlink" Target="https://www.california-demographics.com/merced-county-demographics" TargetMode="External"/><Relationship Id="rId32" Type="http://schemas.openxmlformats.org/officeDocument/2006/relationships/hyperlink" Target="https://www.california-demographics.com/madera-county-demographics" TargetMode="External"/><Relationship Id="rId37" Type="http://schemas.openxmlformats.org/officeDocument/2006/relationships/hyperlink" Target="https://www.california-demographics.com/sutter-county-demographics" TargetMode="External"/><Relationship Id="rId40" Type="http://schemas.openxmlformats.org/officeDocument/2006/relationships/hyperlink" Target="https://www.california-demographics.com/lake-county-demographics" TargetMode="External"/><Relationship Id="rId45" Type="http://schemas.openxmlformats.org/officeDocument/2006/relationships/hyperlink" Target="https://www.california-demographics.com/siskiyou-county-demographics" TargetMode="External"/><Relationship Id="rId53" Type="http://schemas.openxmlformats.org/officeDocument/2006/relationships/hyperlink" Target="https://www.california-demographics.com/mariposa-county-demographics" TargetMode="External"/><Relationship Id="rId58" Type="http://schemas.openxmlformats.org/officeDocument/2006/relationships/hyperlink" Target="https://www.california-demographics.com/alpine-county-demographics" TargetMode="External"/><Relationship Id="rId5" Type="http://schemas.openxmlformats.org/officeDocument/2006/relationships/hyperlink" Target="https://www.california-demographics.com/san-bernardino-county-demographics" TargetMode="External"/><Relationship Id="rId61" Type="http://schemas.openxmlformats.org/officeDocument/2006/relationships/table" Target="../tables/table70.xml"/><Relationship Id="rId19" Type="http://schemas.openxmlformats.org/officeDocument/2006/relationships/hyperlink" Target="https://www.california-demographics.com/santa-barbara-county-demographics" TargetMode="External"/><Relationship Id="rId14" Type="http://schemas.openxmlformats.org/officeDocument/2006/relationships/hyperlink" Target="https://www.california-demographics.com/san-mateo-county-demographics" TargetMode="External"/><Relationship Id="rId22" Type="http://schemas.openxmlformats.org/officeDocument/2006/relationships/hyperlink" Target="https://www.california-demographics.com/placer-county-demographics" TargetMode="External"/><Relationship Id="rId27" Type="http://schemas.openxmlformats.org/officeDocument/2006/relationships/hyperlink" Target="https://www.california-demographics.com/butte-county-demographics" TargetMode="External"/><Relationship Id="rId30" Type="http://schemas.openxmlformats.org/officeDocument/2006/relationships/hyperlink" Target="https://www.california-demographics.com/imperial-county-demographics" TargetMode="External"/><Relationship Id="rId35" Type="http://schemas.openxmlformats.org/officeDocument/2006/relationships/hyperlink" Target="https://www.california-demographics.com/humboldt-county-demographics" TargetMode="External"/><Relationship Id="rId43" Type="http://schemas.openxmlformats.org/officeDocument/2006/relationships/hyperlink" Target="https://www.california-demographics.com/tuolumne-county-demographics" TargetMode="External"/><Relationship Id="rId48" Type="http://schemas.openxmlformats.org/officeDocument/2006/relationships/hyperlink" Target="https://www.california-demographics.com/glenn-county-demographics" TargetMode="External"/><Relationship Id="rId56" Type="http://schemas.openxmlformats.org/officeDocument/2006/relationships/hyperlink" Target="https://www.california-demographics.com/modoc-county-demographics" TargetMode="External"/><Relationship Id="rId8" Type="http://schemas.openxmlformats.org/officeDocument/2006/relationships/hyperlink" Target="https://www.california-demographics.com/sacramento-county-demographics" TargetMode="External"/><Relationship Id="rId51" Type="http://schemas.openxmlformats.org/officeDocument/2006/relationships/hyperlink" Target="https://www.california-demographics.com/plumas-county-demographics" TargetMode="External"/><Relationship Id="rId3" Type="http://schemas.openxmlformats.org/officeDocument/2006/relationships/hyperlink" Target="https://www.california-demographics.com/orange-county-demographics" TargetMode="External"/><Relationship Id="rId12" Type="http://schemas.openxmlformats.org/officeDocument/2006/relationships/hyperlink" Target="https://www.california-demographics.com/san-francisco-county-demographics" TargetMode="External"/><Relationship Id="rId17" Type="http://schemas.openxmlformats.org/officeDocument/2006/relationships/hyperlink" Target="https://www.california-demographics.com/sonoma-county-demographics" TargetMode="External"/><Relationship Id="rId25" Type="http://schemas.openxmlformats.org/officeDocument/2006/relationships/hyperlink" Target="https://www.california-demographics.com/santa-cruz-county-demographics" TargetMode="External"/><Relationship Id="rId33" Type="http://schemas.openxmlformats.org/officeDocument/2006/relationships/hyperlink" Target="https://www.california-demographics.com/kings-county-demographics" TargetMode="External"/><Relationship Id="rId38" Type="http://schemas.openxmlformats.org/officeDocument/2006/relationships/hyperlink" Target="https://www.california-demographics.com/mendocino-county-demographics" TargetMode="External"/><Relationship Id="rId46" Type="http://schemas.openxmlformats.org/officeDocument/2006/relationships/hyperlink" Target="https://www.california-demographics.com/amador-county-demographics" TargetMode="External"/><Relationship Id="rId59" Type="http://schemas.openxmlformats.org/officeDocument/2006/relationships/table" Target="../tables/table68.xml"/><Relationship Id="rId20" Type="http://schemas.openxmlformats.org/officeDocument/2006/relationships/hyperlink" Target="https://www.california-demographics.com/solano-county-demographics" TargetMode="External"/><Relationship Id="rId41" Type="http://schemas.openxmlformats.org/officeDocument/2006/relationships/hyperlink" Target="https://www.california-demographics.com/tehama-county-demographics" TargetMode="External"/><Relationship Id="rId54" Type="http://schemas.openxmlformats.org/officeDocument/2006/relationships/hyperlink" Target="https://www.california-demographics.com/mono-county-demographics" TargetMode="External"/><Relationship Id="rId1" Type="http://schemas.openxmlformats.org/officeDocument/2006/relationships/hyperlink" Target="https://www.california-demographics.com/los-angeles-county-demographics" TargetMode="External"/><Relationship Id="rId6" Type="http://schemas.openxmlformats.org/officeDocument/2006/relationships/hyperlink" Target="https://www.california-demographics.com/santa-clara-county-demographics" TargetMode="External"/><Relationship Id="rId15" Type="http://schemas.openxmlformats.org/officeDocument/2006/relationships/hyperlink" Target="https://www.california-demographics.com/san-joaquin-county-demographics" TargetMode="External"/><Relationship Id="rId23" Type="http://schemas.openxmlformats.org/officeDocument/2006/relationships/hyperlink" Target="https://www.california-demographics.com/san-luis-obispo-county-demographics" TargetMode="External"/><Relationship Id="rId28" Type="http://schemas.openxmlformats.org/officeDocument/2006/relationships/hyperlink" Target="https://www.california-demographics.com/yolo-county-demographics" TargetMode="External"/><Relationship Id="rId36" Type="http://schemas.openxmlformats.org/officeDocument/2006/relationships/hyperlink" Target="https://www.california-demographics.com/nevada-county-demographics" TargetMode="External"/><Relationship Id="rId49" Type="http://schemas.openxmlformats.org/officeDocument/2006/relationships/hyperlink" Target="https://www.california-demographics.com/del-norte-county-demographics" TargetMode="External"/><Relationship Id="rId57" Type="http://schemas.openxmlformats.org/officeDocument/2006/relationships/hyperlink" Target="https://www.california-demographics.com/sierra-county-demographics" TargetMode="External"/><Relationship Id="rId10" Type="http://schemas.openxmlformats.org/officeDocument/2006/relationships/hyperlink" Target="https://www.california-demographics.com/fresno-county-demographics" TargetMode="External"/><Relationship Id="rId31" Type="http://schemas.openxmlformats.org/officeDocument/2006/relationships/hyperlink" Target="https://www.california-demographics.com/shasta-county-demographics" TargetMode="External"/><Relationship Id="rId44" Type="http://schemas.openxmlformats.org/officeDocument/2006/relationships/hyperlink" Target="https://www.california-demographics.com/calaveras-county-demographics" TargetMode="External"/><Relationship Id="rId52" Type="http://schemas.openxmlformats.org/officeDocument/2006/relationships/hyperlink" Target="https://www.california-demographics.com/inyo-county-demographics" TargetMode="External"/><Relationship Id="rId60" Type="http://schemas.openxmlformats.org/officeDocument/2006/relationships/table" Target="../tables/table69.xml"/><Relationship Id="rId4" Type="http://schemas.openxmlformats.org/officeDocument/2006/relationships/hyperlink" Target="https://www.california-demographics.com/riverside-county-demographics" TargetMode="External"/><Relationship Id="rId9" Type="http://schemas.openxmlformats.org/officeDocument/2006/relationships/hyperlink" Target="https://www.california-demographics.com/contra-costa-county-demographics" TargetMode="External"/></Relationships>
</file>

<file path=xl/worksheets/_rels/sheet2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lorado-demographics.com/chaffee-county-demographics" TargetMode="External"/><Relationship Id="rId21" Type="http://schemas.openxmlformats.org/officeDocument/2006/relationships/hyperlink" Target="https://www.colorado-demographics.com/montezuma-county-demographics" TargetMode="External"/><Relationship Id="rId34" Type="http://schemas.openxmlformats.org/officeDocument/2006/relationships/hyperlink" Target="https://www.colorado-demographics.com/archuleta-county-demographics" TargetMode="External"/><Relationship Id="rId42" Type="http://schemas.openxmlformats.org/officeDocument/2006/relationships/hyperlink" Target="https://www.colorado-demographics.com/lake-county-demographics" TargetMode="External"/><Relationship Id="rId47" Type="http://schemas.openxmlformats.org/officeDocument/2006/relationships/hyperlink" Target="https://www.colorado-demographics.com/gilpin-county-demographics" TargetMode="External"/><Relationship Id="rId50" Type="http://schemas.openxmlformats.org/officeDocument/2006/relationships/hyperlink" Target="https://www.colorado-demographics.com/lincoln-county-demographics" TargetMode="External"/><Relationship Id="rId55" Type="http://schemas.openxmlformats.org/officeDocument/2006/relationships/hyperlink" Target="https://www.colorado-demographics.com/costilla-county-demographics" TargetMode="External"/><Relationship Id="rId63" Type="http://schemas.openxmlformats.org/officeDocument/2006/relationships/hyperlink" Target="https://www.colorado-demographics.com/hinsdale-county-demographics" TargetMode="External"/><Relationship Id="rId7" Type="http://schemas.openxmlformats.org/officeDocument/2006/relationships/hyperlink" Target="https://www.colorado-demographics.com/douglas-county-demographics" TargetMode="External"/><Relationship Id="rId2" Type="http://schemas.openxmlformats.org/officeDocument/2006/relationships/hyperlink" Target="https://www.colorado-demographics.com/el-paso-county-demographics" TargetMode="External"/><Relationship Id="rId16" Type="http://schemas.openxmlformats.org/officeDocument/2006/relationships/hyperlink" Target="https://www.colorado-demographics.com/fremont-county-demographics" TargetMode="External"/><Relationship Id="rId29" Type="http://schemas.openxmlformats.org/officeDocument/2006/relationships/hyperlink" Target="https://www.colorado-demographics.com/pitkin-county-demographics" TargetMode="External"/><Relationship Id="rId11" Type="http://schemas.openxmlformats.org/officeDocument/2006/relationships/hyperlink" Target="https://www.colorado-demographics.com/mesa-county-demographics" TargetMode="External"/><Relationship Id="rId24" Type="http://schemas.openxmlformats.org/officeDocument/2006/relationships/hyperlink" Target="https://www.colorado-demographics.com/teller-county-demographics" TargetMode="External"/><Relationship Id="rId32" Type="http://schemas.openxmlformats.org/officeDocument/2006/relationships/hyperlink" Target="https://www.colorado-demographics.com/grand-county-demographics" TargetMode="External"/><Relationship Id="rId37" Type="http://schemas.openxmlformats.org/officeDocument/2006/relationships/hyperlink" Target="https://www.colorado-demographics.com/rio-grande-county-demographics" TargetMode="External"/><Relationship Id="rId40" Type="http://schemas.openxmlformats.org/officeDocument/2006/relationships/hyperlink" Target="https://www.colorado-demographics.com/conejos-county-demographics" TargetMode="External"/><Relationship Id="rId45" Type="http://schemas.openxmlformats.org/officeDocument/2006/relationships/hyperlink" Target="https://www.colorado-demographics.com/saguache-county-demographics" TargetMode="External"/><Relationship Id="rId53" Type="http://schemas.openxmlformats.org/officeDocument/2006/relationships/hyperlink" Target="https://www.colorado-demographics.com/washington-county-demographics" TargetMode="External"/><Relationship Id="rId58" Type="http://schemas.openxmlformats.org/officeDocument/2006/relationships/hyperlink" Target="https://www.colorado-demographics.com/cheyenne-county-demographics" TargetMode="External"/><Relationship Id="rId66" Type="http://schemas.openxmlformats.org/officeDocument/2006/relationships/table" Target="../tables/table72.xml"/><Relationship Id="rId5" Type="http://schemas.openxmlformats.org/officeDocument/2006/relationships/hyperlink" Target="https://www.colorado-demographics.com/adams-county-demographics" TargetMode="External"/><Relationship Id="rId61" Type="http://schemas.openxmlformats.org/officeDocument/2006/relationships/hyperlink" Target="https://www.colorado-demographics.com/jackson-county-demographics" TargetMode="External"/><Relationship Id="rId19" Type="http://schemas.openxmlformats.org/officeDocument/2006/relationships/hyperlink" Target="https://www.colorado-demographics.com/summit-county-demographics" TargetMode="External"/><Relationship Id="rId14" Type="http://schemas.openxmlformats.org/officeDocument/2006/relationships/hyperlink" Target="https://www.colorado-demographics.com/la-plata-county-demographics" TargetMode="External"/><Relationship Id="rId22" Type="http://schemas.openxmlformats.org/officeDocument/2006/relationships/hyperlink" Target="https://www.colorado-demographics.com/elbert-county-demographics" TargetMode="External"/><Relationship Id="rId27" Type="http://schemas.openxmlformats.org/officeDocument/2006/relationships/hyperlink" Target="https://www.colorado-demographics.com/park-county-demographics" TargetMode="External"/><Relationship Id="rId30" Type="http://schemas.openxmlformats.org/officeDocument/2006/relationships/hyperlink" Target="https://www.colorado-demographics.com/gunnison-county-demographics" TargetMode="External"/><Relationship Id="rId35" Type="http://schemas.openxmlformats.org/officeDocument/2006/relationships/hyperlink" Target="https://www.colorado-demographics.com/moffat-county-demographics" TargetMode="External"/><Relationship Id="rId43" Type="http://schemas.openxmlformats.org/officeDocument/2006/relationships/hyperlink" Target="https://www.colorado-demographics.com/kit-carson-county-demographics" TargetMode="External"/><Relationship Id="rId48" Type="http://schemas.openxmlformats.org/officeDocument/2006/relationships/hyperlink" Target="https://www.colorado-demographics.com/crowley-county-demographics" TargetMode="External"/><Relationship Id="rId56" Type="http://schemas.openxmlformats.org/officeDocument/2006/relationships/hyperlink" Target="https://www.colorado-demographics.com/baca-county-demographics" TargetMode="External"/><Relationship Id="rId64" Type="http://schemas.openxmlformats.org/officeDocument/2006/relationships/hyperlink" Target="https://www.colorado-demographics.com/san-juan-county-demographics" TargetMode="External"/><Relationship Id="rId8" Type="http://schemas.openxmlformats.org/officeDocument/2006/relationships/hyperlink" Target="https://www.colorado-demographics.com/boulder-county-demographics" TargetMode="External"/><Relationship Id="rId51" Type="http://schemas.openxmlformats.org/officeDocument/2006/relationships/hyperlink" Target="https://www.colorado-demographics.com/custer-county-demographics" TargetMode="External"/><Relationship Id="rId3" Type="http://schemas.openxmlformats.org/officeDocument/2006/relationships/hyperlink" Target="https://www.colorado-demographics.com/arapahoe-county-demographics" TargetMode="External"/><Relationship Id="rId12" Type="http://schemas.openxmlformats.org/officeDocument/2006/relationships/hyperlink" Target="https://www.colorado-demographics.com/broomfield-county-demographics" TargetMode="External"/><Relationship Id="rId17" Type="http://schemas.openxmlformats.org/officeDocument/2006/relationships/hyperlink" Target="https://www.colorado-demographics.com/montrose-county-demographics" TargetMode="External"/><Relationship Id="rId25" Type="http://schemas.openxmlformats.org/officeDocument/2006/relationships/hyperlink" Target="https://www.colorado-demographics.com/logan-county-demographics" TargetMode="External"/><Relationship Id="rId33" Type="http://schemas.openxmlformats.org/officeDocument/2006/relationships/hyperlink" Target="https://www.colorado-demographics.com/las-animas-county-demographics" TargetMode="External"/><Relationship Id="rId38" Type="http://schemas.openxmlformats.org/officeDocument/2006/relationships/hyperlink" Target="https://www.colorado-demographics.com/yuma-county-demographics" TargetMode="External"/><Relationship Id="rId46" Type="http://schemas.openxmlformats.org/officeDocument/2006/relationships/hyperlink" Target="https://www.colorado-demographics.com/rio-blanco-county-demographics" TargetMode="External"/><Relationship Id="rId59" Type="http://schemas.openxmlformats.org/officeDocument/2006/relationships/hyperlink" Target="https://www.colorado-demographics.com/dolores-county-demographics" TargetMode="External"/><Relationship Id="rId67" Type="http://schemas.openxmlformats.org/officeDocument/2006/relationships/table" Target="../tables/table73.xml"/><Relationship Id="rId20" Type="http://schemas.openxmlformats.org/officeDocument/2006/relationships/hyperlink" Target="https://www.colorado-demographics.com/morgan-county-demographics" TargetMode="External"/><Relationship Id="rId41" Type="http://schemas.openxmlformats.org/officeDocument/2006/relationships/hyperlink" Target="https://www.colorado-demographics.com/san-miguel-county-demographics" TargetMode="External"/><Relationship Id="rId54" Type="http://schemas.openxmlformats.org/officeDocument/2006/relationships/hyperlink" Target="https://www.colorado-demographics.com/phillips-county-demographics" TargetMode="External"/><Relationship Id="rId62" Type="http://schemas.openxmlformats.org/officeDocument/2006/relationships/hyperlink" Target="https://www.colorado-demographics.com/mineral-county-demographics" TargetMode="External"/><Relationship Id="rId1" Type="http://schemas.openxmlformats.org/officeDocument/2006/relationships/hyperlink" Target="https://www.colorado-demographics.com/denver-county-demographics" TargetMode="External"/><Relationship Id="rId6" Type="http://schemas.openxmlformats.org/officeDocument/2006/relationships/hyperlink" Target="https://www.colorado-demographics.com/larimer-county-demographics" TargetMode="External"/><Relationship Id="rId15" Type="http://schemas.openxmlformats.org/officeDocument/2006/relationships/hyperlink" Target="https://www.colorado-demographics.com/eagle-county-demographics" TargetMode="External"/><Relationship Id="rId23" Type="http://schemas.openxmlformats.org/officeDocument/2006/relationships/hyperlink" Target="https://www.colorado-demographics.com/routt-county-demographics" TargetMode="External"/><Relationship Id="rId28" Type="http://schemas.openxmlformats.org/officeDocument/2006/relationships/hyperlink" Target="https://www.colorado-demographics.com/otero-county-demographics" TargetMode="External"/><Relationship Id="rId36" Type="http://schemas.openxmlformats.org/officeDocument/2006/relationships/hyperlink" Target="https://www.colorado-demographics.com/prowers-county-demographics" TargetMode="External"/><Relationship Id="rId49" Type="http://schemas.openxmlformats.org/officeDocument/2006/relationships/hyperlink" Target="https://www.colorado-demographics.com/bent-county-demographics" TargetMode="External"/><Relationship Id="rId57" Type="http://schemas.openxmlformats.org/officeDocument/2006/relationships/hyperlink" Target="https://www.colorado-demographics.com/sedgwick-county-demographics" TargetMode="External"/><Relationship Id="rId10" Type="http://schemas.openxmlformats.org/officeDocument/2006/relationships/hyperlink" Target="https://www.colorado-demographics.com/pueblo-county-demographics" TargetMode="External"/><Relationship Id="rId31" Type="http://schemas.openxmlformats.org/officeDocument/2006/relationships/hyperlink" Target="https://www.colorado-demographics.com/alamosa-county-demographics" TargetMode="External"/><Relationship Id="rId44" Type="http://schemas.openxmlformats.org/officeDocument/2006/relationships/hyperlink" Target="https://www.colorado-demographics.com/huerfano-county-demographics" TargetMode="External"/><Relationship Id="rId52" Type="http://schemas.openxmlformats.org/officeDocument/2006/relationships/hyperlink" Target="https://www.colorado-demographics.com/ouray-county-demographics" TargetMode="External"/><Relationship Id="rId60" Type="http://schemas.openxmlformats.org/officeDocument/2006/relationships/hyperlink" Target="https://www.colorado-demographics.com/kiowa-county-demographics" TargetMode="External"/><Relationship Id="rId65" Type="http://schemas.openxmlformats.org/officeDocument/2006/relationships/table" Target="../tables/table71.xml"/><Relationship Id="rId4" Type="http://schemas.openxmlformats.org/officeDocument/2006/relationships/hyperlink" Target="https://www.colorado-demographics.com/jefferson-county-demographics" TargetMode="External"/><Relationship Id="rId9" Type="http://schemas.openxmlformats.org/officeDocument/2006/relationships/hyperlink" Target="https://www.colorado-demographics.com/weld-county-demographics" TargetMode="External"/><Relationship Id="rId13" Type="http://schemas.openxmlformats.org/officeDocument/2006/relationships/hyperlink" Target="https://www.colorado-demographics.com/garfield-county-demographics" TargetMode="External"/><Relationship Id="rId18" Type="http://schemas.openxmlformats.org/officeDocument/2006/relationships/hyperlink" Target="https://www.colorado-demographics.com/delta-county-demographics" TargetMode="External"/><Relationship Id="rId39" Type="http://schemas.openxmlformats.org/officeDocument/2006/relationships/hyperlink" Target="https://www.colorado-demographics.com/clear-creek-county-demographics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necticut-demographics.com/windham-county-demographics" TargetMode="External"/><Relationship Id="rId3" Type="http://schemas.openxmlformats.org/officeDocument/2006/relationships/hyperlink" Target="https://www.connecticut-demographics.com/new-haven-county-demographics" TargetMode="External"/><Relationship Id="rId7" Type="http://schemas.openxmlformats.org/officeDocument/2006/relationships/hyperlink" Target="https://www.connecticut-demographics.com/tolland-county-demographics" TargetMode="External"/><Relationship Id="rId2" Type="http://schemas.openxmlformats.org/officeDocument/2006/relationships/hyperlink" Target="https://www.connecticut-demographics.com/hartford-county-demographics" TargetMode="External"/><Relationship Id="rId1" Type="http://schemas.openxmlformats.org/officeDocument/2006/relationships/hyperlink" Target="https://www.connecticut-demographics.com/fairfield-county-demographics" TargetMode="External"/><Relationship Id="rId6" Type="http://schemas.openxmlformats.org/officeDocument/2006/relationships/hyperlink" Target="https://www.connecticut-demographics.com/middlesex-county-demographics" TargetMode="External"/><Relationship Id="rId11" Type="http://schemas.openxmlformats.org/officeDocument/2006/relationships/table" Target="../tables/table76.xml"/><Relationship Id="rId5" Type="http://schemas.openxmlformats.org/officeDocument/2006/relationships/hyperlink" Target="https://www.connecticut-demographics.com/litchfield-county-demographics" TargetMode="External"/><Relationship Id="rId10" Type="http://schemas.openxmlformats.org/officeDocument/2006/relationships/table" Target="../tables/table75.xml"/><Relationship Id="rId4" Type="http://schemas.openxmlformats.org/officeDocument/2006/relationships/hyperlink" Target="https://www.connecticut-demographics.com/new-london-county-demographics" TargetMode="External"/><Relationship Id="rId9" Type="http://schemas.openxmlformats.org/officeDocument/2006/relationships/table" Target="../tables/table74.xml"/></Relationships>
</file>

<file path=xl/worksheets/_rels/sheet2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eorgia-demographics.com/floyd-county-demographics" TargetMode="External"/><Relationship Id="rId21" Type="http://schemas.openxmlformats.org/officeDocument/2006/relationships/hyperlink" Target="https://www.georgia-demographics.com/lowndes-county-demographics" TargetMode="External"/><Relationship Id="rId42" Type="http://schemas.openxmlformats.org/officeDocument/2006/relationships/hyperlink" Target="https://www.georgia-demographics.com/laurens-county-demographics" TargetMode="External"/><Relationship Id="rId47" Type="http://schemas.openxmlformats.org/officeDocument/2006/relationships/hyperlink" Target="https://www.georgia-demographics.com/coffee-county-demographics" TargetMode="External"/><Relationship Id="rId63" Type="http://schemas.openxmlformats.org/officeDocument/2006/relationships/hyperlink" Target="https://www.georgia-demographics.com/haralson-county-demographics" TargetMode="External"/><Relationship Id="rId68" Type="http://schemas.openxmlformats.org/officeDocument/2006/relationships/hyperlink" Target="https://www.georgia-demographics.com/decatur-county-demographics" TargetMode="External"/><Relationship Id="rId84" Type="http://schemas.openxmlformats.org/officeDocument/2006/relationships/hyperlink" Target="https://www.georgia-demographics.com/putnam-county-demographics" TargetMode="External"/><Relationship Id="rId89" Type="http://schemas.openxmlformats.org/officeDocument/2006/relationships/hyperlink" Target="https://www.georgia-demographics.com/washington-county-demographics" TargetMode="External"/><Relationship Id="rId16" Type="http://schemas.openxmlformats.org/officeDocument/2006/relationships/hyperlink" Target="https://www.georgia-demographics.com/bibb-county-demographics" TargetMode="External"/><Relationship Id="rId11" Type="http://schemas.openxmlformats.org/officeDocument/2006/relationships/hyperlink" Target="https://www.georgia-demographics.com/hall-county-demographics" TargetMode="External"/><Relationship Id="rId32" Type="http://schemas.openxmlformats.org/officeDocument/2006/relationships/hyperlink" Target="https://www.georgia-demographics.com/bulloch-county-demographics" TargetMode="External"/><Relationship Id="rId37" Type="http://schemas.openxmlformats.org/officeDocument/2006/relationships/hyperlink" Target="https://www.georgia-demographics.com/spalding-county-demographics" TargetMode="External"/><Relationship Id="rId53" Type="http://schemas.openxmlformats.org/officeDocument/2006/relationships/hyperlink" Target="https://www.georgia-demographics.com/ware-county-demographics" TargetMode="External"/><Relationship Id="rId58" Type="http://schemas.openxmlformats.org/officeDocument/2006/relationships/hyperlink" Target="https://www.georgia-demographics.com/white-county-demographics" TargetMode="External"/><Relationship Id="rId74" Type="http://schemas.openxmlformats.org/officeDocument/2006/relationships/hyperlink" Target="https://www.georgia-demographics.com/dawson-county-demographics" TargetMode="External"/><Relationship Id="rId79" Type="http://schemas.openxmlformats.org/officeDocument/2006/relationships/hyperlink" Target="https://www.georgia-demographics.com/franklin-county-demographics" TargetMode="External"/><Relationship Id="rId102" Type="http://schemas.openxmlformats.org/officeDocument/2006/relationships/table" Target="../tables/table78.xml"/><Relationship Id="rId5" Type="http://schemas.openxmlformats.org/officeDocument/2006/relationships/hyperlink" Target="https://www.georgia-demographics.com/chatham-county-demographics" TargetMode="External"/><Relationship Id="rId90" Type="http://schemas.openxmlformats.org/officeDocument/2006/relationships/hyperlink" Target="https://www.georgia-demographics.com/pierce-county-demographics" TargetMode="External"/><Relationship Id="rId95" Type="http://schemas.openxmlformats.org/officeDocument/2006/relationships/hyperlink" Target="https://www.georgia-demographics.com/banks-county-demographics" TargetMode="External"/><Relationship Id="rId22" Type="http://schemas.openxmlformats.org/officeDocument/2006/relationships/hyperlink" Target="https://www.georgia-demographics.com/fayette-county-demographics" TargetMode="External"/><Relationship Id="rId27" Type="http://schemas.openxmlformats.org/officeDocument/2006/relationships/hyperlink" Target="https://www.georgia-demographics.com/walton-county-demographics" TargetMode="External"/><Relationship Id="rId43" Type="http://schemas.openxmlformats.org/officeDocument/2006/relationships/hyperlink" Target="https://www.georgia-demographics.com/colquitt-county-demographics" TargetMode="External"/><Relationship Id="rId48" Type="http://schemas.openxmlformats.org/officeDocument/2006/relationships/hyperlink" Target="https://www.georgia-demographics.com/polk-county-demographics" TargetMode="External"/><Relationship Id="rId64" Type="http://schemas.openxmlformats.org/officeDocument/2006/relationships/hyperlink" Target="https://www.georgia-demographics.com/jones-county-demographics" TargetMode="External"/><Relationship Id="rId69" Type="http://schemas.openxmlformats.org/officeDocument/2006/relationships/hyperlink" Target="https://www.georgia-demographics.com/upson-county-demographics" TargetMode="External"/><Relationship Id="rId80" Type="http://schemas.openxmlformats.org/officeDocument/2006/relationships/hyperlink" Target="https://www.georgia-demographics.com/burke-county-demographics" TargetMode="External"/><Relationship Id="rId85" Type="http://schemas.openxmlformats.org/officeDocument/2006/relationships/hyperlink" Target="https://www.georgia-demographics.com/mcduffie-county-demographics" TargetMode="External"/><Relationship Id="rId12" Type="http://schemas.openxmlformats.org/officeDocument/2006/relationships/hyperlink" Target="https://www.georgia-demographics.com/muscogee-county-demographics" TargetMode="External"/><Relationship Id="rId17" Type="http://schemas.openxmlformats.org/officeDocument/2006/relationships/hyperlink" Target="https://www.georgia-demographics.com/coweta-county-demographics" TargetMode="External"/><Relationship Id="rId25" Type="http://schemas.openxmlformats.org/officeDocument/2006/relationships/hyperlink" Target="https://www.georgia-demographics.com/whitfield-county-demographics" TargetMode="External"/><Relationship Id="rId33" Type="http://schemas.openxmlformats.org/officeDocument/2006/relationships/hyperlink" Target="https://www.georgia-demographics.com/jackson-county-demographics" TargetMode="External"/><Relationship Id="rId38" Type="http://schemas.openxmlformats.org/officeDocument/2006/relationships/hyperlink" Target="https://www.georgia-demographics.com/effingham-county-demographics" TargetMode="External"/><Relationship Id="rId46" Type="http://schemas.openxmlformats.org/officeDocument/2006/relationships/hyperlink" Target="https://www.georgia-demographics.com/thomas-county-demographics" TargetMode="External"/><Relationship Id="rId59" Type="http://schemas.openxmlformats.org/officeDocument/2006/relationships/hyperlink" Target="https://www.georgia-demographics.com/wayne-county-demographics" TargetMode="External"/><Relationship Id="rId67" Type="http://schemas.openxmlformats.org/officeDocument/2006/relationships/hyperlink" Target="https://www.georgia-demographics.com/toombs-county-demographics" TargetMode="External"/><Relationship Id="rId103" Type="http://schemas.openxmlformats.org/officeDocument/2006/relationships/table" Target="../tables/table79.xml"/><Relationship Id="rId20" Type="http://schemas.openxmlformats.org/officeDocument/2006/relationships/hyperlink" Target="https://www.georgia-demographics.com/carroll-county-demographics" TargetMode="External"/><Relationship Id="rId41" Type="http://schemas.openxmlformats.org/officeDocument/2006/relationships/hyperlink" Target="https://www.georgia-demographics.com/camden-county-demographics" TargetMode="External"/><Relationship Id="rId54" Type="http://schemas.openxmlformats.org/officeDocument/2006/relationships/hyperlink" Target="https://www.georgia-demographics.com/harris-county-demographics" TargetMode="External"/><Relationship Id="rId62" Type="http://schemas.openxmlformats.org/officeDocument/2006/relationships/hyperlink" Target="https://www.georgia-demographics.com/madison-county-demographics" TargetMode="External"/><Relationship Id="rId70" Type="http://schemas.openxmlformats.org/officeDocument/2006/relationships/hyperlink" Target="https://www.georgia-demographics.com/hart-county-demographics" TargetMode="External"/><Relationship Id="rId75" Type="http://schemas.openxmlformats.org/officeDocument/2006/relationships/hyperlink" Target="https://www.georgia-demographics.com/chattooga-county-demographics" TargetMode="External"/><Relationship Id="rId83" Type="http://schemas.openxmlformats.org/officeDocument/2006/relationships/hyperlink" Target="https://www.georgia-demographics.com/mitchell-county-demographics" TargetMode="External"/><Relationship Id="rId88" Type="http://schemas.openxmlformats.org/officeDocument/2006/relationships/hyperlink" Target="https://www.georgia-demographics.com/worth-county-demographics" TargetMode="External"/><Relationship Id="rId91" Type="http://schemas.openxmlformats.org/officeDocument/2006/relationships/hyperlink" Target="https://www.georgia-demographics.com/long-county-demographics" TargetMode="External"/><Relationship Id="rId96" Type="http://schemas.openxmlformats.org/officeDocument/2006/relationships/hyperlink" Target="https://www.georgia-demographics.com/lamar-county-demographics" TargetMode="External"/><Relationship Id="rId1" Type="http://schemas.openxmlformats.org/officeDocument/2006/relationships/hyperlink" Target="https://www.georgia-demographics.com/fulton-county-demographics" TargetMode="External"/><Relationship Id="rId6" Type="http://schemas.openxmlformats.org/officeDocument/2006/relationships/hyperlink" Target="https://www.georgia-demographics.com/clayton-county-demographics" TargetMode="External"/><Relationship Id="rId15" Type="http://schemas.openxmlformats.org/officeDocument/2006/relationships/hyperlink" Target="https://www.georgia-demographics.com/columbia-county-demographics" TargetMode="External"/><Relationship Id="rId23" Type="http://schemas.openxmlformats.org/officeDocument/2006/relationships/hyperlink" Target="https://www.georgia-demographics.com/newton-county-demographics" TargetMode="External"/><Relationship Id="rId28" Type="http://schemas.openxmlformats.org/officeDocument/2006/relationships/hyperlink" Target="https://www.georgia-demographics.com/rockdale-county-demographics" TargetMode="External"/><Relationship Id="rId36" Type="http://schemas.openxmlformats.org/officeDocument/2006/relationships/hyperlink" Target="https://www.georgia-demographics.com/catoosa-county-demographics" TargetMode="External"/><Relationship Id="rId49" Type="http://schemas.openxmlformats.org/officeDocument/2006/relationships/hyperlink" Target="https://www.georgia-demographics.com/tift-county-demographics" TargetMode="External"/><Relationship Id="rId57" Type="http://schemas.openxmlformats.org/officeDocument/2006/relationships/hyperlink" Target="https://www.georgia-demographics.com/gilmer-county-demographics" TargetMode="External"/><Relationship Id="rId10" Type="http://schemas.openxmlformats.org/officeDocument/2006/relationships/hyperlink" Target="https://www.georgia-demographics.com/richmond-county-demographics" TargetMode="External"/><Relationship Id="rId31" Type="http://schemas.openxmlformats.org/officeDocument/2006/relationships/hyperlink" Target="https://www.georgia-demographics.com/barrow-county-demographics" TargetMode="External"/><Relationship Id="rId44" Type="http://schemas.openxmlformats.org/officeDocument/2006/relationships/hyperlink" Target="https://www.georgia-demographics.com/habersham-county-demographics" TargetMode="External"/><Relationship Id="rId52" Type="http://schemas.openxmlformats.org/officeDocument/2006/relationships/hyperlink" Target="https://www.georgia-demographics.com/bryan-county-demographics" TargetMode="External"/><Relationship Id="rId60" Type="http://schemas.openxmlformats.org/officeDocument/2006/relationships/hyperlink" Target="https://www.georgia-demographics.com/lee-county-demographics" TargetMode="External"/><Relationship Id="rId65" Type="http://schemas.openxmlformats.org/officeDocument/2006/relationships/hyperlink" Target="https://www.georgia-demographics.com/peach-county-demographics" TargetMode="External"/><Relationship Id="rId73" Type="http://schemas.openxmlformats.org/officeDocument/2006/relationships/hyperlink" Target="https://www.georgia-demographics.com/tattnall-county-demographics" TargetMode="External"/><Relationship Id="rId78" Type="http://schemas.openxmlformats.org/officeDocument/2006/relationships/hyperlink" Target="https://www.georgia-demographics.com/union-county-demographics" TargetMode="External"/><Relationship Id="rId81" Type="http://schemas.openxmlformats.org/officeDocument/2006/relationships/hyperlink" Target="https://www.georgia-demographics.com/emanuel-county-demographics" TargetMode="External"/><Relationship Id="rId86" Type="http://schemas.openxmlformats.org/officeDocument/2006/relationships/hyperlink" Target="https://www.georgia-demographics.com/meriwether-county-demographics" TargetMode="External"/><Relationship Id="rId94" Type="http://schemas.openxmlformats.org/officeDocument/2006/relationships/hyperlink" Target="https://www.georgia-demographics.com/brantley-county-demographics" TargetMode="External"/><Relationship Id="rId99" Type="http://schemas.openxmlformats.org/officeDocument/2006/relationships/hyperlink" Target="https://www.georgia-demographics.com/appling-county-demographics" TargetMode="External"/><Relationship Id="rId101" Type="http://schemas.openxmlformats.org/officeDocument/2006/relationships/table" Target="../tables/table77.xml"/><Relationship Id="rId4" Type="http://schemas.openxmlformats.org/officeDocument/2006/relationships/hyperlink" Target="https://www.georgia-demographics.com/dekalb-county-demographics" TargetMode="External"/><Relationship Id="rId9" Type="http://schemas.openxmlformats.org/officeDocument/2006/relationships/hyperlink" Target="https://www.georgia-demographics.com/henry-county-demographics" TargetMode="External"/><Relationship Id="rId13" Type="http://schemas.openxmlformats.org/officeDocument/2006/relationships/hyperlink" Target="https://www.georgia-demographics.com/paulding-county-demographics" TargetMode="External"/><Relationship Id="rId18" Type="http://schemas.openxmlformats.org/officeDocument/2006/relationships/hyperlink" Target="https://www.georgia-demographics.com/douglas-county-demographics" TargetMode="External"/><Relationship Id="rId39" Type="http://schemas.openxmlformats.org/officeDocument/2006/relationships/hyperlink" Target="https://www.georgia-demographics.com/liberty-county-demographics" TargetMode="External"/><Relationship Id="rId34" Type="http://schemas.openxmlformats.org/officeDocument/2006/relationships/hyperlink" Target="https://www.georgia-demographics.com/troup-county-demographics" TargetMode="External"/><Relationship Id="rId50" Type="http://schemas.openxmlformats.org/officeDocument/2006/relationships/hyperlink" Target="https://www.georgia-demographics.com/murray-county-demographics" TargetMode="External"/><Relationship Id="rId55" Type="http://schemas.openxmlformats.org/officeDocument/2006/relationships/hyperlink" Target="https://www.georgia-demographics.com/lumpkin-county-demographics" TargetMode="External"/><Relationship Id="rId76" Type="http://schemas.openxmlformats.org/officeDocument/2006/relationships/hyperlink" Target="https://www.georgia-demographics.com/grady-county-demographics" TargetMode="External"/><Relationship Id="rId97" Type="http://schemas.openxmlformats.org/officeDocument/2006/relationships/hyperlink" Target="https://www.georgia-demographics.com/morgan-county-demographics" TargetMode="External"/><Relationship Id="rId7" Type="http://schemas.openxmlformats.org/officeDocument/2006/relationships/hyperlink" Target="https://www.georgia-demographics.com/cherokee-county-demographics" TargetMode="External"/><Relationship Id="rId71" Type="http://schemas.openxmlformats.org/officeDocument/2006/relationships/hyperlink" Target="https://www.georgia-demographics.com/stephens-county-demographics" TargetMode="External"/><Relationship Id="rId92" Type="http://schemas.openxmlformats.org/officeDocument/2006/relationships/hyperlink" Target="https://www.georgia-demographics.com/berrien-county-demographics" TargetMode="External"/><Relationship Id="rId2" Type="http://schemas.openxmlformats.org/officeDocument/2006/relationships/hyperlink" Target="https://www.georgia-demographics.com/gwinnett-county-demographics" TargetMode="External"/><Relationship Id="rId29" Type="http://schemas.openxmlformats.org/officeDocument/2006/relationships/hyperlink" Target="https://www.georgia-demographics.com/dougherty-county-demographics" TargetMode="External"/><Relationship Id="rId24" Type="http://schemas.openxmlformats.org/officeDocument/2006/relationships/hyperlink" Target="https://www.georgia-demographics.com/bartow-county-demographics" TargetMode="External"/><Relationship Id="rId40" Type="http://schemas.openxmlformats.org/officeDocument/2006/relationships/hyperlink" Target="https://www.georgia-demographics.com/gordon-county-demographics" TargetMode="External"/><Relationship Id="rId45" Type="http://schemas.openxmlformats.org/officeDocument/2006/relationships/hyperlink" Target="https://www.georgia-demographics.com/baldwin-county-demographics" TargetMode="External"/><Relationship Id="rId66" Type="http://schemas.openxmlformats.org/officeDocument/2006/relationships/hyperlink" Target="https://www.georgia-demographics.com/monroe-county-demographics" TargetMode="External"/><Relationship Id="rId87" Type="http://schemas.openxmlformats.org/officeDocument/2006/relationships/hyperlink" Target="https://www.georgia-demographics.com/dodge-county-demographics" TargetMode="External"/><Relationship Id="rId61" Type="http://schemas.openxmlformats.org/officeDocument/2006/relationships/hyperlink" Target="https://www.georgia-demographics.com/sumter-county-demographics" TargetMode="External"/><Relationship Id="rId82" Type="http://schemas.openxmlformats.org/officeDocument/2006/relationships/hyperlink" Target="https://www.georgia-demographics.com/crisp-county-demographics" TargetMode="External"/><Relationship Id="rId19" Type="http://schemas.openxmlformats.org/officeDocument/2006/relationships/hyperlink" Target="https://www.georgia-demographics.com/clarke-county-demographics" TargetMode="External"/><Relationship Id="rId14" Type="http://schemas.openxmlformats.org/officeDocument/2006/relationships/hyperlink" Target="https://www.georgia-demographics.com/houston-county-demographics" TargetMode="External"/><Relationship Id="rId30" Type="http://schemas.openxmlformats.org/officeDocument/2006/relationships/hyperlink" Target="https://www.georgia-demographics.com/glynn-county-demographics" TargetMode="External"/><Relationship Id="rId35" Type="http://schemas.openxmlformats.org/officeDocument/2006/relationships/hyperlink" Target="https://www.georgia-demographics.com/walker-county-demographics" TargetMode="External"/><Relationship Id="rId56" Type="http://schemas.openxmlformats.org/officeDocument/2006/relationships/hyperlink" Target="https://www.georgia-demographics.com/pickens-county-demographics" TargetMode="External"/><Relationship Id="rId77" Type="http://schemas.openxmlformats.org/officeDocument/2006/relationships/hyperlink" Target="https://www.georgia-demographics.com/butts-county-demographics" TargetMode="External"/><Relationship Id="rId100" Type="http://schemas.openxmlformats.org/officeDocument/2006/relationships/hyperlink" Target="https://www.georgia-demographics.com/greene-county-demographics" TargetMode="External"/><Relationship Id="rId8" Type="http://schemas.openxmlformats.org/officeDocument/2006/relationships/hyperlink" Target="https://www.georgia-demographics.com/forsyth-county-demographics" TargetMode="External"/><Relationship Id="rId51" Type="http://schemas.openxmlformats.org/officeDocument/2006/relationships/hyperlink" Target="https://www.georgia-demographics.com/oconee-county-demographics" TargetMode="External"/><Relationship Id="rId72" Type="http://schemas.openxmlformats.org/officeDocument/2006/relationships/hyperlink" Target="https://www.georgia-demographics.com/fannin-county-demographics" TargetMode="External"/><Relationship Id="rId93" Type="http://schemas.openxmlformats.org/officeDocument/2006/relationships/hyperlink" Target="https://www.georgia-demographics.com/elbert-county-demographics" TargetMode="External"/><Relationship Id="rId98" Type="http://schemas.openxmlformats.org/officeDocument/2006/relationships/hyperlink" Target="https://www.georgia-demographics.com/pike-county-demographics" TargetMode="External"/><Relationship Id="rId3" Type="http://schemas.openxmlformats.org/officeDocument/2006/relationships/hyperlink" Target="https://www.georgia-demographics.com/cobb-county-demographics" TargetMode="External"/></Relationships>
</file>

<file path=xl/worksheets/_rels/sheet2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diana-demographics.com/grant-county-demographics" TargetMode="External"/><Relationship Id="rId21" Type="http://schemas.openxmlformats.org/officeDocument/2006/relationships/hyperlink" Target="https://www.indiana-demographics.com/floyd-county-demographics" TargetMode="External"/><Relationship Id="rId42" Type="http://schemas.openxmlformats.org/officeDocument/2006/relationships/hyperlink" Target="https://www.indiana-demographics.com/knox-county-demographics" TargetMode="External"/><Relationship Id="rId47" Type="http://schemas.openxmlformats.org/officeDocument/2006/relationships/hyperlink" Target="https://www.indiana-demographics.com/whitley-county-demographics" TargetMode="External"/><Relationship Id="rId63" Type="http://schemas.openxmlformats.org/officeDocument/2006/relationships/hyperlink" Target="https://www.indiana-demographics.com/white-county-demographics" TargetMode="External"/><Relationship Id="rId68" Type="http://schemas.openxmlformats.org/officeDocument/2006/relationships/hyperlink" Target="https://www.indiana-demographics.com/owen-county-demographics" TargetMode="External"/><Relationship Id="rId84" Type="http://schemas.openxmlformats.org/officeDocument/2006/relationships/hyperlink" Target="https://www.indiana-demographics.com/pike-county-demographics" TargetMode="External"/><Relationship Id="rId89" Type="http://schemas.openxmlformats.org/officeDocument/2006/relationships/hyperlink" Target="https://www.indiana-demographics.com/benton-county-demographics" TargetMode="External"/><Relationship Id="rId16" Type="http://schemas.openxmlformats.org/officeDocument/2006/relationships/hyperlink" Target="https://www.indiana-demographics.com/laporte-county-demographics" TargetMode="External"/><Relationship Id="rId11" Type="http://schemas.openxmlformats.org/officeDocument/2006/relationships/hyperlink" Target="https://www.indiana-demographics.com/johnson-county-demographics" TargetMode="External"/><Relationship Id="rId32" Type="http://schemas.openxmlformats.org/officeDocument/2006/relationships/hyperlink" Target="https://www.indiana-demographics.com/lawrence-county-demographics" TargetMode="External"/><Relationship Id="rId37" Type="http://schemas.openxmlformats.org/officeDocument/2006/relationships/hyperlink" Target="https://www.indiana-demographics.com/harrison-county-demographics" TargetMode="External"/><Relationship Id="rId53" Type="http://schemas.openxmlformats.org/officeDocument/2006/relationships/hyperlink" Target="https://www.indiana-demographics.com/jefferson-county-demographics" TargetMode="External"/><Relationship Id="rId58" Type="http://schemas.openxmlformats.org/officeDocument/2006/relationships/hyperlink" Target="https://www.indiana-demographics.com/jennings-county-demographics" TargetMode="External"/><Relationship Id="rId74" Type="http://schemas.openxmlformats.org/officeDocument/2006/relationships/hyperlink" Target="https://www.indiana-demographics.com/orange-county-demographics" TargetMode="External"/><Relationship Id="rId79" Type="http://schemas.openxmlformats.org/officeDocument/2006/relationships/hyperlink" Target="https://www.indiana-demographics.com/vermillion-county-demographics" TargetMode="External"/><Relationship Id="rId5" Type="http://schemas.openxmlformats.org/officeDocument/2006/relationships/hyperlink" Target="https://www.indiana-demographics.com/st-joseph-county-demographics" TargetMode="External"/><Relationship Id="rId90" Type="http://schemas.openxmlformats.org/officeDocument/2006/relationships/hyperlink" Target="https://www.indiana-demographics.com/warren-county-demographics" TargetMode="External"/><Relationship Id="rId95" Type="http://schemas.openxmlformats.org/officeDocument/2006/relationships/table" Target="../tables/table82.xml"/><Relationship Id="rId22" Type="http://schemas.openxmlformats.org/officeDocument/2006/relationships/hyperlink" Target="https://www.indiana-demographics.com/hancock-county-demographics" TargetMode="External"/><Relationship Id="rId27" Type="http://schemas.openxmlformats.org/officeDocument/2006/relationships/hyperlink" Target="https://www.indiana-demographics.com/warrick-county-demographics" TargetMode="External"/><Relationship Id="rId43" Type="http://schemas.openxmlformats.org/officeDocument/2006/relationships/hyperlink" Target="https://www.indiana-demographics.com/huntington-county-demographics" TargetMode="External"/><Relationship Id="rId48" Type="http://schemas.openxmlformats.org/officeDocument/2006/relationships/hyperlink" Target="https://www.indiana-demographics.com/gibson-county-demographics" TargetMode="External"/><Relationship Id="rId64" Type="http://schemas.openxmlformats.org/officeDocument/2006/relationships/hyperlink" Target="https://www.indiana-demographics.com/scott-county-demographics" TargetMode="External"/><Relationship Id="rId69" Type="http://schemas.openxmlformats.org/officeDocument/2006/relationships/hyperlink" Target="https://www.indiana-demographics.com/jay-county-demographics" TargetMode="External"/><Relationship Id="rId8" Type="http://schemas.openxmlformats.org/officeDocument/2006/relationships/hyperlink" Target="https://www.indiana-demographics.com/vanderburgh-county-demographics" TargetMode="External"/><Relationship Id="rId51" Type="http://schemas.openxmlformats.org/officeDocument/2006/relationships/hyperlink" Target="https://www.indiana-demographics.com/clinton-county-demographics" TargetMode="External"/><Relationship Id="rId72" Type="http://schemas.openxmlformats.org/officeDocument/2006/relationships/hyperlink" Target="https://www.indiana-demographics.com/carroll-county-demographics" TargetMode="External"/><Relationship Id="rId80" Type="http://schemas.openxmlformats.org/officeDocument/2006/relationships/hyperlink" Target="https://www.indiana-demographics.com/tipton-county-demographics" TargetMode="External"/><Relationship Id="rId85" Type="http://schemas.openxmlformats.org/officeDocument/2006/relationships/hyperlink" Target="https://www.indiana-demographics.com/blackford-county-demographics" TargetMode="External"/><Relationship Id="rId93" Type="http://schemas.openxmlformats.org/officeDocument/2006/relationships/table" Target="../tables/table80.xml"/><Relationship Id="rId3" Type="http://schemas.openxmlformats.org/officeDocument/2006/relationships/hyperlink" Target="https://www.indiana-demographics.com/allen-county-demographics" TargetMode="External"/><Relationship Id="rId12" Type="http://schemas.openxmlformats.org/officeDocument/2006/relationships/hyperlink" Target="https://www.indiana-demographics.com/monroe-county-demographics" TargetMode="External"/><Relationship Id="rId17" Type="http://schemas.openxmlformats.org/officeDocument/2006/relationships/hyperlink" Target="https://www.indiana-demographics.com/vigo-county-demographics" TargetMode="External"/><Relationship Id="rId25" Type="http://schemas.openxmlformats.org/officeDocument/2006/relationships/hyperlink" Target="https://www.indiana-demographics.com/wayne-county-demographics" TargetMode="External"/><Relationship Id="rId33" Type="http://schemas.openxmlformats.org/officeDocument/2006/relationships/hyperlink" Target="https://www.indiana-demographics.com/shelby-county-demographics" TargetMode="External"/><Relationship Id="rId38" Type="http://schemas.openxmlformats.org/officeDocument/2006/relationships/hyperlink" Target="https://www.indiana-demographics.com/lagrange-county-demographics" TargetMode="External"/><Relationship Id="rId46" Type="http://schemas.openxmlformats.org/officeDocument/2006/relationships/hyperlink" Target="https://www.indiana-demographics.com/steuben-county-demographics" TargetMode="External"/><Relationship Id="rId59" Type="http://schemas.openxmlformats.org/officeDocument/2006/relationships/hyperlink" Target="https://www.indiana-demographics.com/decatur-county-demographics" TargetMode="External"/><Relationship Id="rId67" Type="http://schemas.openxmlformats.org/officeDocument/2006/relationships/hyperlink" Target="https://www.indiana-demographics.com/franklin-county-demographics" TargetMode="External"/><Relationship Id="rId20" Type="http://schemas.openxmlformats.org/officeDocument/2006/relationships/hyperlink" Target="https://www.indiana-demographics.com/kosciusko-county-demographics" TargetMode="External"/><Relationship Id="rId41" Type="http://schemas.openxmlformats.org/officeDocument/2006/relationships/hyperlink" Target="https://www.indiana-demographics.com/putnam-county-demographics" TargetMode="External"/><Relationship Id="rId54" Type="http://schemas.openxmlformats.org/officeDocument/2006/relationships/hyperlink" Target="https://www.indiana-demographics.com/wabash-county-demographics" TargetMode="External"/><Relationship Id="rId62" Type="http://schemas.openxmlformats.org/officeDocument/2006/relationships/hyperlink" Target="https://www.indiana-demographics.com/randolph-county-demographics" TargetMode="External"/><Relationship Id="rId70" Type="http://schemas.openxmlformats.org/officeDocument/2006/relationships/hyperlink" Target="https://www.indiana-demographics.com/sullivan-county-demographics" TargetMode="External"/><Relationship Id="rId75" Type="http://schemas.openxmlformats.org/officeDocument/2006/relationships/hyperlink" Target="https://www.indiana-demographics.com/perry-county-demographics" TargetMode="External"/><Relationship Id="rId83" Type="http://schemas.openxmlformats.org/officeDocument/2006/relationships/hyperlink" Target="https://www.indiana-demographics.com/pulaski-county-demographics" TargetMode="External"/><Relationship Id="rId88" Type="http://schemas.openxmlformats.org/officeDocument/2006/relationships/hyperlink" Target="https://www.indiana-demographics.com/martin-county-demographics" TargetMode="External"/><Relationship Id="rId91" Type="http://schemas.openxmlformats.org/officeDocument/2006/relationships/hyperlink" Target="https://www.indiana-demographics.com/union-county-demographics" TargetMode="External"/><Relationship Id="rId1" Type="http://schemas.openxmlformats.org/officeDocument/2006/relationships/hyperlink" Target="https://www.indiana-demographics.com/marion-county-demographics" TargetMode="External"/><Relationship Id="rId6" Type="http://schemas.openxmlformats.org/officeDocument/2006/relationships/hyperlink" Target="https://www.indiana-demographics.com/elkhart-county-demographics" TargetMode="External"/><Relationship Id="rId15" Type="http://schemas.openxmlformats.org/officeDocument/2006/relationships/hyperlink" Target="https://www.indiana-demographics.com/delaware-county-demographics" TargetMode="External"/><Relationship Id="rId23" Type="http://schemas.openxmlformats.org/officeDocument/2006/relationships/hyperlink" Target="https://www.indiana-demographics.com/morgan-county-demographics" TargetMode="External"/><Relationship Id="rId28" Type="http://schemas.openxmlformats.org/officeDocument/2006/relationships/hyperlink" Target="https://www.indiana-demographics.com/dearborn-county-demographics" TargetMode="External"/><Relationship Id="rId36" Type="http://schemas.openxmlformats.org/officeDocument/2006/relationships/hyperlink" Target="https://www.indiana-demographics.com/dubois-county-demographics" TargetMode="External"/><Relationship Id="rId49" Type="http://schemas.openxmlformats.org/officeDocument/2006/relationships/hyperlink" Target="https://www.indiana-demographics.com/jasper-county-demographics" TargetMode="External"/><Relationship Id="rId57" Type="http://schemas.openxmlformats.org/officeDocument/2006/relationships/hyperlink" Target="https://www.indiana-demographics.com/washington-county-demographics" TargetMode="External"/><Relationship Id="rId10" Type="http://schemas.openxmlformats.org/officeDocument/2006/relationships/hyperlink" Target="https://www.indiana-demographics.com/hendricks-county-demographics" TargetMode="External"/><Relationship Id="rId31" Type="http://schemas.openxmlformats.org/officeDocument/2006/relationships/hyperlink" Target="https://www.indiana-demographics.com/marshall-county-demographics" TargetMode="External"/><Relationship Id="rId44" Type="http://schemas.openxmlformats.org/officeDocument/2006/relationships/hyperlink" Target="https://www.indiana-demographics.com/miami-county-demographics" TargetMode="External"/><Relationship Id="rId52" Type="http://schemas.openxmlformats.org/officeDocument/2006/relationships/hyperlink" Target="https://www.indiana-demographics.com/greene-county-demographics" TargetMode="External"/><Relationship Id="rId60" Type="http://schemas.openxmlformats.org/officeDocument/2006/relationships/hyperlink" Target="https://www.indiana-demographics.com/clay-county-demographics" TargetMode="External"/><Relationship Id="rId65" Type="http://schemas.openxmlformats.org/officeDocument/2006/relationships/hyperlink" Target="https://www.indiana-demographics.com/fayette-county-demographics" TargetMode="External"/><Relationship Id="rId73" Type="http://schemas.openxmlformats.org/officeDocument/2006/relationships/hyperlink" Target="https://www.indiana-demographics.com/fulton-county-demographics" TargetMode="External"/><Relationship Id="rId78" Type="http://schemas.openxmlformats.org/officeDocument/2006/relationships/hyperlink" Target="https://www.indiana-demographics.com/fountain-county-demographics" TargetMode="External"/><Relationship Id="rId81" Type="http://schemas.openxmlformats.org/officeDocument/2006/relationships/hyperlink" Target="https://www.indiana-demographics.com/brown-county-demographics" TargetMode="External"/><Relationship Id="rId86" Type="http://schemas.openxmlformats.org/officeDocument/2006/relationships/hyperlink" Target="https://www.indiana-demographics.com/switzerland-county-demographics" TargetMode="External"/><Relationship Id="rId94" Type="http://schemas.openxmlformats.org/officeDocument/2006/relationships/table" Target="../tables/table81.xml"/><Relationship Id="rId4" Type="http://schemas.openxmlformats.org/officeDocument/2006/relationships/hyperlink" Target="https://www.indiana-demographics.com/hamilton-county-demographics" TargetMode="External"/><Relationship Id="rId9" Type="http://schemas.openxmlformats.org/officeDocument/2006/relationships/hyperlink" Target="https://www.indiana-demographics.com/porter-county-demographics" TargetMode="External"/><Relationship Id="rId13" Type="http://schemas.openxmlformats.org/officeDocument/2006/relationships/hyperlink" Target="https://www.indiana-demographics.com/madison-county-demographics" TargetMode="External"/><Relationship Id="rId18" Type="http://schemas.openxmlformats.org/officeDocument/2006/relationships/hyperlink" Target="https://www.indiana-demographics.com/bartholomew-county-demographics" TargetMode="External"/><Relationship Id="rId39" Type="http://schemas.openxmlformats.org/officeDocument/2006/relationships/hyperlink" Target="https://www.indiana-demographics.com/montgomery-county-demographics" TargetMode="External"/><Relationship Id="rId34" Type="http://schemas.openxmlformats.org/officeDocument/2006/relationships/hyperlink" Target="https://www.indiana-demographics.com/jackson-county-demographics" TargetMode="External"/><Relationship Id="rId50" Type="http://schemas.openxmlformats.org/officeDocument/2006/relationships/hyperlink" Target="https://www.indiana-demographics.com/daviess-county-demographics" TargetMode="External"/><Relationship Id="rId55" Type="http://schemas.openxmlformats.org/officeDocument/2006/relationships/hyperlink" Target="https://www.indiana-demographics.com/ripley-county-demographics" TargetMode="External"/><Relationship Id="rId76" Type="http://schemas.openxmlformats.org/officeDocument/2006/relationships/hyperlink" Target="https://www.indiana-demographics.com/parke-county-demographics" TargetMode="External"/><Relationship Id="rId7" Type="http://schemas.openxmlformats.org/officeDocument/2006/relationships/hyperlink" Target="https://www.indiana-demographics.com/tippecanoe-county-demographics" TargetMode="External"/><Relationship Id="rId71" Type="http://schemas.openxmlformats.org/officeDocument/2006/relationships/hyperlink" Target="https://www.indiana-demographics.com/spencer-county-demographics" TargetMode="External"/><Relationship Id="rId92" Type="http://schemas.openxmlformats.org/officeDocument/2006/relationships/hyperlink" Target="https://www.indiana-demographics.com/ohio-county-demographics" TargetMode="External"/><Relationship Id="rId2" Type="http://schemas.openxmlformats.org/officeDocument/2006/relationships/hyperlink" Target="https://www.indiana-demographics.com/lake-county-demographics" TargetMode="External"/><Relationship Id="rId29" Type="http://schemas.openxmlformats.org/officeDocument/2006/relationships/hyperlink" Target="https://www.indiana-demographics.com/henry-county-demographics" TargetMode="External"/><Relationship Id="rId24" Type="http://schemas.openxmlformats.org/officeDocument/2006/relationships/hyperlink" Target="https://www.indiana-demographics.com/boone-county-demographics" TargetMode="External"/><Relationship Id="rId40" Type="http://schemas.openxmlformats.org/officeDocument/2006/relationships/hyperlink" Target="https://www.indiana-demographics.com/cass-county-demographics" TargetMode="External"/><Relationship Id="rId45" Type="http://schemas.openxmlformats.org/officeDocument/2006/relationships/hyperlink" Target="https://www.indiana-demographics.com/adams-county-demographics" TargetMode="External"/><Relationship Id="rId66" Type="http://schemas.openxmlformats.org/officeDocument/2006/relationships/hyperlink" Target="https://www.indiana-demographics.com/starke-county-demographics" TargetMode="External"/><Relationship Id="rId87" Type="http://schemas.openxmlformats.org/officeDocument/2006/relationships/hyperlink" Target="https://www.indiana-demographics.com/crawford-county-demographics" TargetMode="External"/><Relationship Id="rId61" Type="http://schemas.openxmlformats.org/officeDocument/2006/relationships/hyperlink" Target="https://www.indiana-demographics.com/posey-county-demographics" TargetMode="External"/><Relationship Id="rId82" Type="http://schemas.openxmlformats.org/officeDocument/2006/relationships/hyperlink" Target="https://www.indiana-demographics.com/newton-county-demographics" TargetMode="External"/><Relationship Id="rId19" Type="http://schemas.openxmlformats.org/officeDocument/2006/relationships/hyperlink" Target="https://www.indiana-demographics.com/howard-county-demographics" TargetMode="External"/><Relationship Id="rId14" Type="http://schemas.openxmlformats.org/officeDocument/2006/relationships/hyperlink" Target="https://www.indiana-demographics.com/clark-county-demographics" TargetMode="External"/><Relationship Id="rId30" Type="http://schemas.openxmlformats.org/officeDocument/2006/relationships/hyperlink" Target="https://www.indiana-demographics.com/noble-county-demographics" TargetMode="External"/><Relationship Id="rId35" Type="http://schemas.openxmlformats.org/officeDocument/2006/relationships/hyperlink" Target="https://www.indiana-demographics.com/dekalb-county-demographics" TargetMode="External"/><Relationship Id="rId56" Type="http://schemas.openxmlformats.org/officeDocument/2006/relationships/hyperlink" Target="https://www.indiana-demographics.com/wells-county-demographics" TargetMode="External"/><Relationship Id="rId77" Type="http://schemas.openxmlformats.org/officeDocument/2006/relationships/hyperlink" Target="https://www.indiana-demographics.com/rush-county-demographics" TargetMode="External"/></Relationships>
</file>

<file path=xl/worksheets/_rels/sheet29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owa-demographics.com/bremer-county-demographics" TargetMode="External"/><Relationship Id="rId21" Type="http://schemas.openxmlformats.org/officeDocument/2006/relationships/hyperlink" Target="https://www.iowa-demographics.com/lee-county-demographics" TargetMode="External"/><Relationship Id="rId42" Type="http://schemas.openxmlformats.org/officeDocument/2006/relationships/hyperlink" Target="https://www.iowa-demographics.com/delaware-county-demographics" TargetMode="External"/><Relationship Id="rId47" Type="http://schemas.openxmlformats.org/officeDocument/2006/relationships/hyperlink" Target="https://www.iowa-demographics.com/madison-county-demographics" TargetMode="External"/><Relationship Id="rId63" Type="http://schemas.openxmlformats.org/officeDocument/2006/relationships/hyperlink" Target="https://www.iowa-demographics.com/chickasaw-county-demographics" TargetMode="External"/><Relationship Id="rId68" Type="http://schemas.openxmlformats.org/officeDocument/2006/relationships/hyperlink" Target="https://www.iowa-demographics.com/hancock-county-demographics" TargetMode="External"/><Relationship Id="rId84" Type="http://schemas.openxmlformats.org/officeDocument/2006/relationships/hyperlink" Target="https://www.iowa-demographics.com/monona-county-demographics" TargetMode="External"/><Relationship Id="rId89" Type="http://schemas.openxmlformats.org/officeDocument/2006/relationships/hyperlink" Target="https://www.iowa-demographics.com/van-buren-county-demographics" TargetMode="External"/><Relationship Id="rId16" Type="http://schemas.openxmlformats.org/officeDocument/2006/relationships/hyperlink" Target="https://www.iowa-demographics.com/des-moines-county-demographics" TargetMode="External"/><Relationship Id="rId11" Type="http://schemas.openxmlformats.org/officeDocument/2006/relationships/hyperlink" Target="https://www.iowa-demographics.com/warren-county-demographics" TargetMode="External"/><Relationship Id="rId32" Type="http://schemas.openxmlformats.org/officeDocument/2006/relationships/hyperlink" Target="https://www.iowa-demographics.com/winneshiek-county-demographics" TargetMode="External"/><Relationship Id="rId37" Type="http://schemas.openxmlformats.org/officeDocument/2006/relationships/hyperlink" Target="https://www.iowa-demographics.com/cedar-county-demographics" TargetMode="External"/><Relationship Id="rId53" Type="http://schemas.openxmlformats.org/officeDocument/2006/relationships/hyperlink" Target="https://www.iowa-demographics.com/kossuth-county-demographics" TargetMode="External"/><Relationship Id="rId58" Type="http://schemas.openxmlformats.org/officeDocument/2006/relationships/hyperlink" Target="https://www.iowa-demographics.com/cass-county-demographics" TargetMode="External"/><Relationship Id="rId74" Type="http://schemas.openxmlformats.org/officeDocument/2006/relationships/hyperlink" Target="https://www.iowa-demographics.com/montgomery-county-demographics" TargetMode="External"/><Relationship Id="rId79" Type="http://schemas.openxmlformats.org/officeDocument/2006/relationships/hyperlink" Target="https://www.iowa-demographics.com/emmet-county-demographics" TargetMode="External"/><Relationship Id="rId102" Type="http://schemas.openxmlformats.org/officeDocument/2006/relationships/table" Target="../tables/table85.xml"/><Relationship Id="rId5" Type="http://schemas.openxmlformats.org/officeDocument/2006/relationships/hyperlink" Target="https://www.iowa-demographics.com/black-hawk-county-demographics" TargetMode="External"/><Relationship Id="rId90" Type="http://schemas.openxmlformats.org/officeDocument/2006/relationships/hyperlink" Target="https://www.iowa-demographics.com/adair-county-demographics" TargetMode="External"/><Relationship Id="rId95" Type="http://schemas.openxmlformats.org/officeDocument/2006/relationships/hyperlink" Target="https://www.iowa-demographics.com/taylor-county-demographics" TargetMode="External"/><Relationship Id="rId22" Type="http://schemas.openxmlformats.org/officeDocument/2006/relationships/hyperlink" Target="https://www.iowa-demographics.com/marion-county-demographics" TargetMode="External"/><Relationship Id="rId27" Type="http://schemas.openxmlformats.org/officeDocument/2006/relationships/hyperlink" Target="https://www.iowa-demographics.com/mahaska-county-demographics" TargetMode="External"/><Relationship Id="rId43" Type="http://schemas.openxmlformats.org/officeDocument/2006/relationships/hyperlink" Target="https://www.iowa-demographics.com/crawford-county-demographics" TargetMode="External"/><Relationship Id="rId48" Type="http://schemas.openxmlformats.org/officeDocument/2006/relationships/hyperlink" Target="https://www.iowa-demographics.com/clay-county-demographics" TargetMode="External"/><Relationship Id="rId64" Type="http://schemas.openxmlformats.org/officeDocument/2006/relationships/hyperlink" Target="https://www.iowa-demographics.com/lyon-county-demographics" TargetMode="External"/><Relationship Id="rId69" Type="http://schemas.openxmlformats.org/officeDocument/2006/relationships/hyperlink" Target="https://www.iowa-demographics.com/guthrie-county-demographics" TargetMode="External"/><Relationship Id="rId80" Type="http://schemas.openxmlformats.org/officeDocument/2006/relationships/hyperlink" Target="https://www.iowa-demographics.com/howard-county-demographics" TargetMode="External"/><Relationship Id="rId85" Type="http://schemas.openxmlformats.org/officeDocument/2006/relationships/hyperlink" Target="https://www.iowa-demographics.com/lucas-county-demographics" TargetMode="External"/><Relationship Id="rId12" Type="http://schemas.openxmlformats.org/officeDocument/2006/relationships/hyperlink" Target="https://www.iowa-demographics.com/clinton-county-demographics" TargetMode="External"/><Relationship Id="rId17" Type="http://schemas.openxmlformats.org/officeDocument/2006/relationships/hyperlink" Target="https://www.iowa-demographics.com/jasper-county-demographics" TargetMode="External"/><Relationship Id="rId25" Type="http://schemas.openxmlformats.org/officeDocument/2006/relationships/hyperlink" Target="https://www.iowa-demographics.com/plymouth-county-demographics" TargetMode="External"/><Relationship Id="rId33" Type="http://schemas.openxmlformats.org/officeDocument/2006/relationships/hyperlink" Target="https://www.iowa-demographics.com/buena-vista-county-demographics" TargetMode="External"/><Relationship Id="rId38" Type="http://schemas.openxmlformats.org/officeDocument/2006/relationships/hyperlink" Target="https://www.iowa-demographics.com/poweshiek-county-demographics" TargetMode="External"/><Relationship Id="rId46" Type="http://schemas.openxmlformats.org/officeDocument/2006/relationships/hyperlink" Target="https://www.iowa-demographics.com/iowa-county-demographics" TargetMode="External"/><Relationship Id="rId59" Type="http://schemas.openxmlformats.org/officeDocument/2006/relationships/hyperlink" Target="https://www.iowa-demographics.com/wright-county-demographics" TargetMode="External"/><Relationship Id="rId67" Type="http://schemas.openxmlformats.org/officeDocument/2006/relationships/hyperlink" Target="https://www.iowa-demographics.com/louisa-county-demographics" TargetMode="External"/><Relationship Id="rId20" Type="http://schemas.openxmlformats.org/officeDocument/2006/relationships/hyperlink" Target="https://www.iowa-demographics.com/sioux-county-demographics" TargetMode="External"/><Relationship Id="rId41" Type="http://schemas.openxmlformats.org/officeDocument/2006/relationships/hyperlink" Target="https://www.iowa-demographics.com/dickinson-county-demographics" TargetMode="External"/><Relationship Id="rId54" Type="http://schemas.openxmlformats.org/officeDocument/2006/relationships/hyperlink" Target="https://www.iowa-demographics.com/butler-county-demographics" TargetMode="External"/><Relationship Id="rId62" Type="http://schemas.openxmlformats.org/officeDocument/2006/relationships/hyperlink" Target="https://www.iowa-demographics.com/grundy-county-demographics" TargetMode="External"/><Relationship Id="rId70" Type="http://schemas.openxmlformats.org/officeDocument/2006/relationships/hyperlink" Target="https://www.iowa-demographics.com/mitchell-county-demographics" TargetMode="External"/><Relationship Id="rId75" Type="http://schemas.openxmlformats.org/officeDocument/2006/relationships/hyperlink" Target="https://www.iowa-demographics.com/sac-county-demographics" TargetMode="External"/><Relationship Id="rId83" Type="http://schemas.openxmlformats.org/officeDocument/2006/relationships/hyperlink" Target="https://www.iowa-demographics.com/greene-county-demographics" TargetMode="External"/><Relationship Id="rId88" Type="http://schemas.openxmlformats.org/officeDocument/2006/relationships/hyperlink" Target="https://www.iowa-demographics.com/worth-county-demographics" TargetMode="External"/><Relationship Id="rId91" Type="http://schemas.openxmlformats.org/officeDocument/2006/relationships/hyperlink" Target="https://www.iowa-demographics.com/fremont-county-demographics" TargetMode="External"/><Relationship Id="rId96" Type="http://schemas.openxmlformats.org/officeDocument/2006/relationships/hyperlink" Target="https://www.iowa-demographics.com/osceola-county-demographics" TargetMode="External"/><Relationship Id="rId1" Type="http://schemas.openxmlformats.org/officeDocument/2006/relationships/hyperlink" Target="https://www.iowa-demographics.com/polk-county-demographics" TargetMode="External"/><Relationship Id="rId6" Type="http://schemas.openxmlformats.org/officeDocument/2006/relationships/hyperlink" Target="https://www.iowa-demographics.com/woodbury-county-demographics" TargetMode="External"/><Relationship Id="rId15" Type="http://schemas.openxmlformats.org/officeDocument/2006/relationships/hyperlink" Target="https://www.iowa-demographics.com/marshall-county-demographics" TargetMode="External"/><Relationship Id="rId23" Type="http://schemas.openxmlformats.org/officeDocument/2006/relationships/hyperlink" Target="https://www.iowa-demographics.com/boone-county-demographics" TargetMode="External"/><Relationship Id="rId28" Type="http://schemas.openxmlformats.org/officeDocument/2006/relationships/hyperlink" Target="https://www.iowa-demographics.com/washington-county-demographics" TargetMode="External"/><Relationship Id="rId36" Type="http://schemas.openxmlformats.org/officeDocument/2006/relationships/hyperlink" Target="https://www.iowa-demographics.com/jackson-county-demographics" TargetMode="External"/><Relationship Id="rId49" Type="http://schemas.openxmlformats.org/officeDocument/2006/relationships/hyperlink" Target="https://www.iowa-demographics.com/floyd-county-demographics" TargetMode="External"/><Relationship Id="rId57" Type="http://schemas.openxmlformats.org/officeDocument/2006/relationships/hyperlink" Target="https://www.iowa-demographics.com/allamakee-county-demographics" TargetMode="External"/><Relationship Id="rId10" Type="http://schemas.openxmlformats.org/officeDocument/2006/relationships/hyperlink" Target="https://www.iowa-demographics.com/dallas-county-demographics" TargetMode="External"/><Relationship Id="rId31" Type="http://schemas.openxmlformats.org/officeDocument/2006/relationships/hyperlink" Target="https://www.iowa-demographics.com/carroll-county-demographics" TargetMode="External"/><Relationship Id="rId44" Type="http://schemas.openxmlformats.org/officeDocument/2006/relationships/hyperlink" Target="https://www.iowa-demographics.com/tama-county-demographics" TargetMode="External"/><Relationship Id="rId52" Type="http://schemas.openxmlformats.org/officeDocument/2006/relationships/hyperlink" Target="https://www.iowa-demographics.com/hamilton-county-demographics" TargetMode="External"/><Relationship Id="rId60" Type="http://schemas.openxmlformats.org/officeDocument/2006/relationships/hyperlink" Target="https://www.iowa-demographics.com/appanoose-county-demographics" TargetMode="External"/><Relationship Id="rId65" Type="http://schemas.openxmlformats.org/officeDocument/2006/relationships/hyperlink" Target="https://www.iowa-demographics.com/shelby-county-demographics" TargetMode="External"/><Relationship Id="rId73" Type="http://schemas.openxmlformats.org/officeDocument/2006/relationships/hyperlink" Target="https://www.iowa-demographics.com/franklin-county-demographics" TargetMode="External"/><Relationship Id="rId78" Type="http://schemas.openxmlformats.org/officeDocument/2006/relationships/hyperlink" Target="https://www.iowa-demographics.com/clarke-county-demographics" TargetMode="External"/><Relationship Id="rId81" Type="http://schemas.openxmlformats.org/officeDocument/2006/relationships/hyperlink" Target="https://www.iowa-demographics.com/davis-county-demographics" TargetMode="External"/><Relationship Id="rId86" Type="http://schemas.openxmlformats.org/officeDocument/2006/relationships/hyperlink" Target="https://www.iowa-demographics.com/decatur-county-demographics" TargetMode="External"/><Relationship Id="rId94" Type="http://schemas.openxmlformats.org/officeDocument/2006/relationships/hyperlink" Target="https://www.iowa-demographics.com/wayne-county-demographics" TargetMode="External"/><Relationship Id="rId99" Type="http://schemas.openxmlformats.org/officeDocument/2006/relationships/hyperlink" Target="https://www.iowa-demographics.com/adams-county-demographics" TargetMode="External"/><Relationship Id="rId101" Type="http://schemas.openxmlformats.org/officeDocument/2006/relationships/table" Target="../tables/table84.xml"/><Relationship Id="rId4" Type="http://schemas.openxmlformats.org/officeDocument/2006/relationships/hyperlink" Target="https://www.iowa-demographics.com/johnson-county-demographics" TargetMode="External"/><Relationship Id="rId9" Type="http://schemas.openxmlformats.org/officeDocument/2006/relationships/hyperlink" Target="https://www.iowa-demographics.com/pottawattamie-county-demographics" TargetMode="External"/><Relationship Id="rId13" Type="http://schemas.openxmlformats.org/officeDocument/2006/relationships/hyperlink" Target="https://www.iowa-demographics.com/muscatine-county-demographics" TargetMode="External"/><Relationship Id="rId18" Type="http://schemas.openxmlformats.org/officeDocument/2006/relationships/hyperlink" Target="https://www.iowa-demographics.com/webster-county-demographics" TargetMode="External"/><Relationship Id="rId39" Type="http://schemas.openxmlformats.org/officeDocument/2006/relationships/hyperlink" Target="https://www.iowa-demographics.com/jefferson-county-demographics" TargetMode="External"/><Relationship Id="rId34" Type="http://schemas.openxmlformats.org/officeDocument/2006/relationships/hyperlink" Target="https://www.iowa-demographics.com/henry-county-demographics" TargetMode="External"/><Relationship Id="rId50" Type="http://schemas.openxmlformats.org/officeDocument/2006/relationships/hyperlink" Target="https://www.iowa-demographics.com/page-county-demographics" TargetMode="External"/><Relationship Id="rId55" Type="http://schemas.openxmlformats.org/officeDocument/2006/relationships/hyperlink" Target="https://www.iowa-demographics.com/harrison-county-demographics" TargetMode="External"/><Relationship Id="rId76" Type="http://schemas.openxmlformats.org/officeDocument/2006/relationships/hyperlink" Target="https://www.iowa-demographics.com/calhoun-county-demographics" TargetMode="External"/><Relationship Id="rId97" Type="http://schemas.openxmlformats.org/officeDocument/2006/relationships/hyperlink" Target="https://www.iowa-demographics.com/audubon-county-demographics" TargetMode="External"/><Relationship Id="rId7" Type="http://schemas.openxmlformats.org/officeDocument/2006/relationships/hyperlink" Target="https://www.iowa-demographics.com/story-county-demographics" TargetMode="External"/><Relationship Id="rId71" Type="http://schemas.openxmlformats.org/officeDocument/2006/relationships/hyperlink" Target="https://www.iowa-demographics.com/winnebago-county-demographics" TargetMode="External"/><Relationship Id="rId92" Type="http://schemas.openxmlformats.org/officeDocument/2006/relationships/hyperlink" Target="https://www.iowa-demographics.com/ida-county-demographics" TargetMode="External"/><Relationship Id="rId2" Type="http://schemas.openxmlformats.org/officeDocument/2006/relationships/hyperlink" Target="https://www.iowa-demographics.com/linn-county-demographics" TargetMode="External"/><Relationship Id="rId29" Type="http://schemas.openxmlformats.org/officeDocument/2006/relationships/hyperlink" Target="https://www.iowa-demographics.com/buchanan-county-demographics" TargetMode="External"/><Relationship Id="rId24" Type="http://schemas.openxmlformats.org/officeDocument/2006/relationships/hyperlink" Target="https://www.iowa-demographics.com/benton-county-demographics" TargetMode="External"/><Relationship Id="rId40" Type="http://schemas.openxmlformats.org/officeDocument/2006/relationships/hyperlink" Target="https://www.iowa-demographics.com/clayton-county-demographics" TargetMode="External"/><Relationship Id="rId45" Type="http://schemas.openxmlformats.org/officeDocument/2006/relationships/hyperlink" Target="https://www.iowa-demographics.com/hardin-county-demographics" TargetMode="External"/><Relationship Id="rId66" Type="http://schemas.openxmlformats.org/officeDocument/2006/relationships/hyperlink" Target="https://www.iowa-demographics.com/cherokee-county-demographics" TargetMode="External"/><Relationship Id="rId87" Type="http://schemas.openxmlformats.org/officeDocument/2006/relationships/hyperlink" Target="https://www.iowa-demographics.com/monroe-county-demographics" TargetMode="External"/><Relationship Id="rId61" Type="http://schemas.openxmlformats.org/officeDocument/2006/relationships/hyperlink" Target="https://www.iowa-demographics.com/union-county-demographics" TargetMode="External"/><Relationship Id="rId82" Type="http://schemas.openxmlformats.org/officeDocument/2006/relationships/hyperlink" Target="https://www.iowa-demographics.com/palo-alto-county-demographics" TargetMode="External"/><Relationship Id="rId19" Type="http://schemas.openxmlformats.org/officeDocument/2006/relationships/hyperlink" Target="https://www.iowa-demographics.com/wapello-county-demographics" TargetMode="External"/><Relationship Id="rId14" Type="http://schemas.openxmlformats.org/officeDocument/2006/relationships/hyperlink" Target="https://www.iowa-demographics.com/cerro-gordo-county-demographics" TargetMode="External"/><Relationship Id="rId30" Type="http://schemas.openxmlformats.org/officeDocument/2006/relationships/hyperlink" Target="https://www.iowa-demographics.com/jones-county-demographics" TargetMode="External"/><Relationship Id="rId35" Type="http://schemas.openxmlformats.org/officeDocument/2006/relationships/hyperlink" Target="https://www.iowa-demographics.com/fayette-county-demographics" TargetMode="External"/><Relationship Id="rId56" Type="http://schemas.openxmlformats.org/officeDocument/2006/relationships/hyperlink" Target="https://www.iowa-demographics.com/o-brien-county-demographics" TargetMode="External"/><Relationship Id="rId77" Type="http://schemas.openxmlformats.org/officeDocument/2006/relationships/hyperlink" Target="https://www.iowa-demographics.com/humboldt-county-demographics" TargetMode="External"/><Relationship Id="rId100" Type="http://schemas.openxmlformats.org/officeDocument/2006/relationships/table" Target="../tables/table83.xml"/><Relationship Id="rId8" Type="http://schemas.openxmlformats.org/officeDocument/2006/relationships/hyperlink" Target="https://www.iowa-demographics.com/dubuque-county-demographics" TargetMode="External"/><Relationship Id="rId51" Type="http://schemas.openxmlformats.org/officeDocument/2006/relationships/hyperlink" Target="https://www.iowa-demographics.com/mills-county-demographics" TargetMode="External"/><Relationship Id="rId72" Type="http://schemas.openxmlformats.org/officeDocument/2006/relationships/hyperlink" Target="https://www.iowa-demographics.com/keokuk-county-demographics" TargetMode="External"/><Relationship Id="rId93" Type="http://schemas.openxmlformats.org/officeDocument/2006/relationships/hyperlink" Target="https://www.iowa-demographics.com/pocahontas-county-demographics" TargetMode="External"/><Relationship Id="rId98" Type="http://schemas.openxmlformats.org/officeDocument/2006/relationships/hyperlink" Target="https://www.iowa-demographics.com/ringgold-county-demographics" TargetMode="External"/><Relationship Id="rId3" Type="http://schemas.openxmlformats.org/officeDocument/2006/relationships/hyperlink" Target="https://www.iowa-demographics.com/scott-county-demographic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yland-demographics.com/harford-county-demographics" TargetMode="External"/><Relationship Id="rId13" Type="http://schemas.openxmlformats.org/officeDocument/2006/relationships/hyperlink" Target="https://www.maryland-demographics.com/wicomico-county-demographics" TargetMode="External"/><Relationship Id="rId18" Type="http://schemas.openxmlformats.org/officeDocument/2006/relationships/hyperlink" Target="https://www.maryland-demographics.com/queen-anne-s-county-demographics" TargetMode="External"/><Relationship Id="rId26" Type="http://schemas.openxmlformats.org/officeDocument/2006/relationships/table" Target="../tables/table6.xml"/><Relationship Id="rId3" Type="http://schemas.openxmlformats.org/officeDocument/2006/relationships/hyperlink" Target="https://www.maryland-demographics.com/baltimore-county-demographics" TargetMode="External"/><Relationship Id="rId21" Type="http://schemas.openxmlformats.org/officeDocument/2006/relationships/hyperlink" Target="https://www.maryland-demographics.com/dorchester-county-demographics" TargetMode="External"/><Relationship Id="rId7" Type="http://schemas.openxmlformats.org/officeDocument/2006/relationships/hyperlink" Target="https://www.maryland-demographics.com/frederick-county-demographics" TargetMode="External"/><Relationship Id="rId12" Type="http://schemas.openxmlformats.org/officeDocument/2006/relationships/hyperlink" Target="https://www.maryland-demographics.com/st-mary-s-county-demographics" TargetMode="External"/><Relationship Id="rId17" Type="http://schemas.openxmlformats.org/officeDocument/2006/relationships/hyperlink" Target="https://www.maryland-demographics.com/worcester-county-demographics" TargetMode="External"/><Relationship Id="rId25" Type="http://schemas.openxmlformats.org/officeDocument/2006/relationships/table" Target="../tables/table5.xml"/><Relationship Id="rId2" Type="http://schemas.openxmlformats.org/officeDocument/2006/relationships/hyperlink" Target="https://www.maryland-demographics.com/prince-george-s-county-demographics" TargetMode="External"/><Relationship Id="rId16" Type="http://schemas.openxmlformats.org/officeDocument/2006/relationships/hyperlink" Target="https://www.maryland-demographics.com/allegany-county-demographics" TargetMode="External"/><Relationship Id="rId20" Type="http://schemas.openxmlformats.org/officeDocument/2006/relationships/hyperlink" Target="https://www.maryland-demographics.com/caroline-county-demographics" TargetMode="External"/><Relationship Id="rId1" Type="http://schemas.openxmlformats.org/officeDocument/2006/relationships/hyperlink" Target="https://www.maryland-demographics.com/montgomery-county-demographics" TargetMode="External"/><Relationship Id="rId6" Type="http://schemas.openxmlformats.org/officeDocument/2006/relationships/hyperlink" Target="https://www.maryland-demographics.com/howard-county-demographics" TargetMode="External"/><Relationship Id="rId11" Type="http://schemas.openxmlformats.org/officeDocument/2006/relationships/hyperlink" Target="https://www.maryland-demographics.com/washington-county-demographics" TargetMode="External"/><Relationship Id="rId24" Type="http://schemas.openxmlformats.org/officeDocument/2006/relationships/hyperlink" Target="https://www.maryland-demographics.com/kent-county-demographics" TargetMode="External"/><Relationship Id="rId5" Type="http://schemas.openxmlformats.org/officeDocument/2006/relationships/hyperlink" Target="https://www.maryland-demographics.com/anne-arundel-county-demographics" TargetMode="External"/><Relationship Id="rId15" Type="http://schemas.openxmlformats.org/officeDocument/2006/relationships/hyperlink" Target="https://www.maryland-demographics.com/calvert-county-demographics" TargetMode="External"/><Relationship Id="rId23" Type="http://schemas.openxmlformats.org/officeDocument/2006/relationships/hyperlink" Target="https://www.maryland-demographics.com/somerset-county-demographics" TargetMode="External"/><Relationship Id="rId10" Type="http://schemas.openxmlformats.org/officeDocument/2006/relationships/hyperlink" Target="https://www.maryland-demographics.com/charles-county-demographics" TargetMode="External"/><Relationship Id="rId19" Type="http://schemas.openxmlformats.org/officeDocument/2006/relationships/hyperlink" Target="https://www.maryland-demographics.com/talbot-county-demographics" TargetMode="External"/><Relationship Id="rId4" Type="http://schemas.openxmlformats.org/officeDocument/2006/relationships/hyperlink" Target="https://www.maryland-demographics.com/baltimore-city-county-demographics" TargetMode="External"/><Relationship Id="rId9" Type="http://schemas.openxmlformats.org/officeDocument/2006/relationships/hyperlink" Target="https://www.maryland-demographics.com/carroll-county-demographics" TargetMode="External"/><Relationship Id="rId14" Type="http://schemas.openxmlformats.org/officeDocument/2006/relationships/hyperlink" Target="https://www.maryland-demographics.com/cecil-county-demographics" TargetMode="External"/><Relationship Id="rId22" Type="http://schemas.openxmlformats.org/officeDocument/2006/relationships/hyperlink" Target="https://www.maryland-demographics.com/garrett-county-demographics" TargetMode="External"/><Relationship Id="rId27" Type="http://schemas.openxmlformats.org/officeDocument/2006/relationships/table" Target="../tables/table7.xml"/></Relationships>
</file>

<file path=xl/worksheets/_rels/sheet3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kentucky-demographics.com/calloway-county-demographics" TargetMode="External"/><Relationship Id="rId21" Type="http://schemas.openxmlformats.org/officeDocument/2006/relationships/hyperlink" Target="https://www.kentucky-demographics.com/boyd-county-demographics" TargetMode="External"/><Relationship Id="rId42" Type="http://schemas.openxmlformats.org/officeDocument/2006/relationships/hyperlink" Target="https://www.kentucky-demographics.com/grayson-county-demographics" TargetMode="External"/><Relationship Id="rId47" Type="http://schemas.openxmlformats.org/officeDocument/2006/relationships/hyperlink" Target="https://www.kentucky-demographics.com/rowan-county-demographics" TargetMode="External"/><Relationship Id="rId63" Type="http://schemas.openxmlformats.org/officeDocument/2006/relationships/hyperlink" Target="https://www.kentucky-demographics.com/harrison-county-demographics" TargetMode="External"/><Relationship Id="rId68" Type="http://schemas.openxmlformats.org/officeDocument/2006/relationships/hyperlink" Target="https://www.kentucky-demographics.com/mason-county-demographics" TargetMode="External"/><Relationship Id="rId84" Type="http://schemas.openxmlformats.org/officeDocument/2006/relationships/hyperlink" Target="https://www.kentucky-demographics.com/breathitt-county-demographics" TargetMode="External"/><Relationship Id="rId89" Type="http://schemas.openxmlformats.org/officeDocument/2006/relationships/hyperlink" Target="https://www.kentucky-demographics.com/todd-county-demographics" TargetMode="External"/><Relationship Id="rId16" Type="http://schemas.openxmlformats.org/officeDocument/2006/relationships/hyperlink" Target="https://www.kentucky-demographics.com/pike-county-demographics" TargetMode="External"/><Relationship Id="rId11" Type="http://schemas.openxmlformats.org/officeDocument/2006/relationships/hyperlink" Target="https://www.kentucky-demographics.com/christian-county-demographics" TargetMode="External"/><Relationship Id="rId32" Type="http://schemas.openxmlformats.org/officeDocument/2006/relationships/hyperlink" Target="https://www.kentucky-demographics.com/knox-county-demographics" TargetMode="External"/><Relationship Id="rId37" Type="http://schemas.openxmlformats.org/officeDocument/2006/relationships/hyperlink" Target="https://www.kentucky-demographics.com/montgomery-county-demographics" TargetMode="External"/><Relationship Id="rId53" Type="http://schemas.openxmlformats.org/officeDocument/2006/relationships/hyperlink" Target="https://www.kentucky-demographics.com/mercer-county-demographics" TargetMode="External"/><Relationship Id="rId58" Type="http://schemas.openxmlformats.org/officeDocument/2006/relationships/hyperlink" Target="https://www.kentucky-demographics.com/bourbon-county-demographics" TargetMode="External"/><Relationship Id="rId74" Type="http://schemas.openxmlformats.org/officeDocument/2006/relationships/hyperlink" Target="https://www.kentucky-demographics.com/pendleton-county-demographics" TargetMode="External"/><Relationship Id="rId79" Type="http://schemas.openxmlformats.org/officeDocument/2006/relationships/hyperlink" Target="https://www.kentucky-demographics.com/estill-county-demographics" TargetMode="External"/><Relationship Id="rId102" Type="http://schemas.openxmlformats.org/officeDocument/2006/relationships/table" Target="../tables/table87.xml"/><Relationship Id="rId5" Type="http://schemas.openxmlformats.org/officeDocument/2006/relationships/hyperlink" Target="https://www.kentucky-demographics.com/warren-county-demographics" TargetMode="External"/><Relationship Id="rId90" Type="http://schemas.openxmlformats.org/officeDocument/2006/relationships/hyperlink" Target="https://www.kentucky-demographics.com/powell-county-demographics" TargetMode="External"/><Relationship Id="rId95" Type="http://schemas.openxmlformats.org/officeDocument/2006/relationships/hyperlink" Target="https://www.kentucky-demographics.com/owen-county-demographics" TargetMode="External"/><Relationship Id="rId22" Type="http://schemas.openxmlformats.org/officeDocument/2006/relationships/hyperlink" Target="https://www.kentucky-demographics.com/nelson-county-demographics" TargetMode="External"/><Relationship Id="rId27" Type="http://schemas.openxmlformats.org/officeDocument/2006/relationships/hyperlink" Target="https://www.kentucky-demographics.com/graves-county-demographics" TargetMode="External"/><Relationship Id="rId43" Type="http://schemas.openxmlformats.org/officeDocument/2006/relationships/hyperlink" Target="https://www.kentucky-demographics.com/harlan-county-demographics" TargetMode="External"/><Relationship Id="rId48" Type="http://schemas.openxmlformats.org/officeDocument/2006/relationships/hyperlink" Target="https://www.kentucky-demographics.com/lincoln-county-demographics" TargetMode="External"/><Relationship Id="rId64" Type="http://schemas.openxmlformats.org/officeDocument/2006/relationships/hyperlink" Target="https://www.kentucky-demographics.com/simpson-county-demographics" TargetMode="External"/><Relationship Id="rId69" Type="http://schemas.openxmlformats.org/officeDocument/2006/relationships/hyperlink" Target="https://www.kentucky-demographics.com/rockcastle-county-demographics" TargetMode="External"/><Relationship Id="rId80" Type="http://schemas.openxmlformats.org/officeDocument/2006/relationships/hyperlink" Target="https://www.kentucky-demographics.com/jackson-county-demographics" TargetMode="External"/><Relationship Id="rId85" Type="http://schemas.openxmlformats.org/officeDocument/2006/relationships/hyperlink" Target="https://www.kentucky-demographics.com/butler-county-demographics" TargetMode="External"/><Relationship Id="rId12" Type="http://schemas.openxmlformats.org/officeDocument/2006/relationships/hyperlink" Target="https://www.kentucky-demographics.com/oldham-county-demographics" TargetMode="External"/><Relationship Id="rId17" Type="http://schemas.openxmlformats.org/officeDocument/2006/relationships/hyperlink" Target="https://www.kentucky-demographics.com/scott-county-demographics" TargetMode="External"/><Relationship Id="rId25" Type="http://schemas.openxmlformats.org/officeDocument/2006/relationships/hyperlink" Target="https://www.kentucky-demographics.com/barren-county-demographics" TargetMode="External"/><Relationship Id="rId33" Type="http://schemas.openxmlformats.org/officeDocument/2006/relationships/hyperlink" Target="https://www.kentucky-demographics.com/marshall-county-demographics" TargetMode="External"/><Relationship Id="rId38" Type="http://schemas.openxmlformats.org/officeDocument/2006/relationships/hyperlink" Target="https://www.kentucky-demographics.com/logan-county-demographics" TargetMode="External"/><Relationship Id="rId46" Type="http://schemas.openxmlformats.org/officeDocument/2006/relationships/hyperlink" Target="https://www.kentucky-demographics.com/grant-county-demographics" TargetMode="External"/><Relationship Id="rId59" Type="http://schemas.openxmlformats.org/officeDocument/2006/relationships/hyperlink" Target="https://www.kentucky-demographics.com/adair-county-demographics" TargetMode="External"/><Relationship Id="rId67" Type="http://schemas.openxmlformats.org/officeDocument/2006/relationships/hyperlink" Target="https://www.kentucky-demographics.com/mccreary-county-demographics" TargetMode="External"/><Relationship Id="rId103" Type="http://schemas.openxmlformats.org/officeDocument/2006/relationships/table" Target="../tables/table88.xml"/><Relationship Id="rId20" Type="http://schemas.openxmlformats.org/officeDocument/2006/relationships/hyperlink" Target="https://www.kentucky-demographics.com/shelby-county-demographics" TargetMode="External"/><Relationship Id="rId41" Type="http://schemas.openxmlformats.org/officeDocument/2006/relationships/hyperlink" Target="https://www.kentucky-demographics.com/bell-county-demographics" TargetMode="External"/><Relationship Id="rId54" Type="http://schemas.openxmlformats.org/officeDocument/2006/relationships/hyperlink" Target="https://www.kentucky-demographics.com/allen-county-demographics" TargetMode="External"/><Relationship Id="rId62" Type="http://schemas.openxmlformats.org/officeDocument/2006/relationships/hyperlink" Target="https://www.kentucky-demographics.com/hart-county-demographics" TargetMode="External"/><Relationship Id="rId70" Type="http://schemas.openxmlformats.org/officeDocument/2006/relationships/hyperlink" Target="https://www.kentucky-demographics.com/henry-county-demographics" TargetMode="External"/><Relationship Id="rId75" Type="http://schemas.openxmlformats.org/officeDocument/2006/relationships/hyperlink" Target="https://www.kentucky-demographics.com/union-county-demographics" TargetMode="External"/><Relationship Id="rId83" Type="http://schemas.openxmlformats.org/officeDocument/2006/relationships/hyperlink" Target="https://www.kentucky-demographics.com/webster-county-demographics" TargetMode="External"/><Relationship Id="rId88" Type="http://schemas.openxmlformats.org/officeDocument/2006/relationships/hyperlink" Target="https://www.kentucky-demographics.com/magoffin-county-demographics" TargetMode="External"/><Relationship Id="rId91" Type="http://schemas.openxmlformats.org/officeDocument/2006/relationships/hyperlink" Target="https://www.kentucky-demographics.com/edmonson-county-demographics" TargetMode="External"/><Relationship Id="rId96" Type="http://schemas.openxmlformats.org/officeDocument/2006/relationships/hyperlink" Target="https://www.kentucky-demographics.com/carroll-county-demographics" TargetMode="External"/><Relationship Id="rId1" Type="http://schemas.openxmlformats.org/officeDocument/2006/relationships/hyperlink" Target="https://www.kentucky-demographics.com/jefferson-county-demographics" TargetMode="External"/><Relationship Id="rId6" Type="http://schemas.openxmlformats.org/officeDocument/2006/relationships/hyperlink" Target="https://www.kentucky-demographics.com/hardin-county-demographics" TargetMode="External"/><Relationship Id="rId15" Type="http://schemas.openxmlformats.org/officeDocument/2006/relationships/hyperlink" Target="https://www.kentucky-demographics.com/laurel-county-demographics" TargetMode="External"/><Relationship Id="rId23" Type="http://schemas.openxmlformats.org/officeDocument/2006/relationships/hyperlink" Target="https://www.kentucky-demographics.com/henderson-county-demographics" TargetMode="External"/><Relationship Id="rId28" Type="http://schemas.openxmlformats.org/officeDocument/2006/relationships/hyperlink" Target="https://www.kentucky-demographics.com/whitley-county-demographics" TargetMode="External"/><Relationship Id="rId36" Type="http://schemas.openxmlformats.org/officeDocument/2006/relationships/hyperlink" Target="https://www.kentucky-demographics.com/meade-county-demographics" TargetMode="External"/><Relationship Id="rId49" Type="http://schemas.openxmlformats.org/officeDocument/2006/relationships/hyperlink" Target="https://www.kentucky-demographics.com/ohio-county-demographics" TargetMode="External"/><Relationship Id="rId57" Type="http://schemas.openxmlformats.org/officeDocument/2006/relationships/hyperlink" Target="https://www.kentucky-demographics.com/clay-county-demographics" TargetMode="External"/><Relationship Id="rId10" Type="http://schemas.openxmlformats.org/officeDocument/2006/relationships/hyperlink" Target="https://www.kentucky-demographics.com/bullitt-county-demographics" TargetMode="External"/><Relationship Id="rId31" Type="http://schemas.openxmlformats.org/officeDocument/2006/relationships/hyperlink" Target="https://www.kentucky-demographics.com/greenup-county-demographics" TargetMode="External"/><Relationship Id="rId44" Type="http://schemas.openxmlformats.org/officeDocument/2006/relationships/hyperlink" Target="https://www.kentucky-demographics.com/perry-county-demographics" TargetMode="External"/><Relationship Id="rId52" Type="http://schemas.openxmlformats.org/officeDocument/2006/relationships/hyperlink" Target="https://www.kentucky-demographics.com/letcher-county-demographics" TargetMode="External"/><Relationship Id="rId60" Type="http://schemas.openxmlformats.org/officeDocument/2006/relationships/hyperlink" Target="https://www.kentucky-demographics.com/marion-county-demographics" TargetMode="External"/><Relationship Id="rId65" Type="http://schemas.openxmlformats.org/officeDocument/2006/relationships/hyperlink" Target="https://www.kentucky-demographics.com/russell-county-demographics" TargetMode="External"/><Relationship Id="rId73" Type="http://schemas.openxmlformats.org/officeDocument/2006/relationships/hyperlink" Target="https://www.kentucky-demographics.com/knott-county-demographics" TargetMode="External"/><Relationship Id="rId78" Type="http://schemas.openxmlformats.org/officeDocument/2006/relationships/hyperlink" Target="https://www.kentucky-demographics.com/larue-county-demographics" TargetMode="External"/><Relationship Id="rId81" Type="http://schemas.openxmlformats.org/officeDocument/2006/relationships/hyperlink" Target="https://www.kentucky-demographics.com/lewis-county-demographics" TargetMode="External"/><Relationship Id="rId86" Type="http://schemas.openxmlformats.org/officeDocument/2006/relationships/hyperlink" Target="https://www.kentucky-demographics.com/caldwell-county-demographics" TargetMode="External"/><Relationship Id="rId94" Type="http://schemas.openxmlformats.org/officeDocument/2006/relationships/hyperlink" Target="https://www.kentucky-demographics.com/green-county-demographics" TargetMode="External"/><Relationship Id="rId99" Type="http://schemas.openxmlformats.org/officeDocument/2006/relationships/hyperlink" Target="https://www.kentucky-demographics.com/leslie-county-demographics" TargetMode="External"/><Relationship Id="rId101" Type="http://schemas.openxmlformats.org/officeDocument/2006/relationships/table" Target="../tables/table86.xml"/><Relationship Id="rId4" Type="http://schemas.openxmlformats.org/officeDocument/2006/relationships/hyperlink" Target="https://www.kentucky-demographics.com/boone-county-demographics" TargetMode="External"/><Relationship Id="rId9" Type="http://schemas.openxmlformats.org/officeDocument/2006/relationships/hyperlink" Target="https://www.kentucky-demographics.com/madison-county-demographics" TargetMode="External"/><Relationship Id="rId13" Type="http://schemas.openxmlformats.org/officeDocument/2006/relationships/hyperlink" Target="https://www.kentucky-demographics.com/mccracken-county-demographics" TargetMode="External"/><Relationship Id="rId18" Type="http://schemas.openxmlformats.org/officeDocument/2006/relationships/hyperlink" Target="https://www.kentucky-demographics.com/jessamine-county-demographics" TargetMode="External"/><Relationship Id="rId39" Type="http://schemas.openxmlformats.org/officeDocument/2006/relationships/hyperlink" Target="https://www.kentucky-demographics.com/carter-county-demographics" TargetMode="External"/><Relationship Id="rId34" Type="http://schemas.openxmlformats.org/officeDocument/2006/relationships/hyperlink" Target="https://www.kentucky-demographics.com/muhlenberg-county-demographics" TargetMode="External"/><Relationship Id="rId50" Type="http://schemas.openxmlformats.org/officeDocument/2006/relationships/hyperlink" Target="https://www.kentucky-demographics.com/anderson-county-demographics" TargetMode="External"/><Relationship Id="rId55" Type="http://schemas.openxmlformats.org/officeDocument/2006/relationships/hyperlink" Target="https://www.kentucky-demographics.com/wayne-county-demographics" TargetMode="External"/><Relationship Id="rId76" Type="http://schemas.openxmlformats.org/officeDocument/2006/relationships/hyperlink" Target="https://www.kentucky-demographics.com/trigg-county-demographics" TargetMode="External"/><Relationship Id="rId97" Type="http://schemas.openxmlformats.org/officeDocument/2006/relationships/hyperlink" Target="https://www.kentucky-demographics.com/monroe-county-demographics" TargetMode="External"/><Relationship Id="rId7" Type="http://schemas.openxmlformats.org/officeDocument/2006/relationships/hyperlink" Target="https://www.kentucky-demographics.com/daviess-county-demographics" TargetMode="External"/><Relationship Id="rId71" Type="http://schemas.openxmlformats.org/officeDocument/2006/relationships/hyperlink" Target="https://www.kentucky-demographics.com/casey-county-demographics" TargetMode="External"/><Relationship Id="rId92" Type="http://schemas.openxmlformats.org/officeDocument/2006/relationships/hyperlink" Target="https://www.kentucky-demographics.com/washington-county-demographics" TargetMode="External"/><Relationship Id="rId2" Type="http://schemas.openxmlformats.org/officeDocument/2006/relationships/hyperlink" Target="https://www.kentucky-demographics.com/fayette-county-demographics" TargetMode="External"/><Relationship Id="rId29" Type="http://schemas.openxmlformats.org/officeDocument/2006/relationships/hyperlink" Target="https://www.kentucky-demographics.com/clark-county-demographics" TargetMode="External"/><Relationship Id="rId24" Type="http://schemas.openxmlformats.org/officeDocument/2006/relationships/hyperlink" Target="https://www.kentucky-demographics.com/hopkins-county-demographics" TargetMode="External"/><Relationship Id="rId40" Type="http://schemas.openxmlformats.org/officeDocument/2006/relationships/hyperlink" Target="https://www.kentucky-demographics.com/woodford-county-demographics" TargetMode="External"/><Relationship Id="rId45" Type="http://schemas.openxmlformats.org/officeDocument/2006/relationships/hyperlink" Target="https://www.kentucky-demographics.com/taylor-county-demographics" TargetMode="External"/><Relationship Id="rId66" Type="http://schemas.openxmlformats.org/officeDocument/2006/relationships/hyperlink" Target="https://www.kentucky-demographics.com/garrard-county-demographics" TargetMode="External"/><Relationship Id="rId87" Type="http://schemas.openxmlformats.org/officeDocument/2006/relationships/hyperlink" Target="https://www.kentucky-demographics.com/bath-county-demographics" TargetMode="External"/><Relationship Id="rId61" Type="http://schemas.openxmlformats.org/officeDocument/2006/relationships/hyperlink" Target="https://www.kentucky-demographics.com/spencer-county-demographics" TargetMode="External"/><Relationship Id="rId82" Type="http://schemas.openxmlformats.org/officeDocument/2006/relationships/hyperlink" Target="https://www.kentucky-demographics.com/morgan-county-demographics" TargetMode="External"/><Relationship Id="rId19" Type="http://schemas.openxmlformats.org/officeDocument/2006/relationships/hyperlink" Target="https://www.kentucky-demographics.com/franklin-county-demographics" TargetMode="External"/><Relationship Id="rId14" Type="http://schemas.openxmlformats.org/officeDocument/2006/relationships/hyperlink" Target="https://www.kentucky-demographics.com/pulaski-county-demographics" TargetMode="External"/><Relationship Id="rId30" Type="http://schemas.openxmlformats.org/officeDocument/2006/relationships/hyperlink" Target="https://www.kentucky-demographics.com/floyd-county-demographics" TargetMode="External"/><Relationship Id="rId35" Type="http://schemas.openxmlformats.org/officeDocument/2006/relationships/hyperlink" Target="https://www.kentucky-demographics.com/boyle-county-demographics" TargetMode="External"/><Relationship Id="rId56" Type="http://schemas.openxmlformats.org/officeDocument/2006/relationships/hyperlink" Target="https://www.kentucky-demographics.com/breckinridge-county-demographics" TargetMode="External"/><Relationship Id="rId77" Type="http://schemas.openxmlformats.org/officeDocument/2006/relationships/hyperlink" Target="https://www.kentucky-demographics.com/fleming-county-demographics" TargetMode="External"/><Relationship Id="rId100" Type="http://schemas.openxmlformats.org/officeDocument/2006/relationships/hyperlink" Target="https://www.kentucky-demographics.com/metcalfe-county-demographics" TargetMode="External"/><Relationship Id="rId8" Type="http://schemas.openxmlformats.org/officeDocument/2006/relationships/hyperlink" Target="https://www.kentucky-demographics.com/campbell-county-demographics" TargetMode="External"/><Relationship Id="rId51" Type="http://schemas.openxmlformats.org/officeDocument/2006/relationships/hyperlink" Target="https://www.kentucky-demographics.com/johnson-county-demographics" TargetMode="External"/><Relationship Id="rId72" Type="http://schemas.openxmlformats.org/officeDocument/2006/relationships/hyperlink" Target="https://www.kentucky-demographics.com/lawrence-county-demographics" TargetMode="External"/><Relationship Id="rId93" Type="http://schemas.openxmlformats.org/officeDocument/2006/relationships/hyperlink" Target="https://www.kentucky-demographics.com/martin-county-demographics" TargetMode="External"/><Relationship Id="rId98" Type="http://schemas.openxmlformats.org/officeDocument/2006/relationships/hyperlink" Target="https://www.kentucky-demographics.com/clinton-county-demographics" TargetMode="External"/><Relationship Id="rId3" Type="http://schemas.openxmlformats.org/officeDocument/2006/relationships/hyperlink" Target="https://www.kentucky-demographics.com/kenton-county-demographics" TargetMode="External"/></Relationships>
</file>

<file path=xl/worksheets/_rels/sheet3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nnessee-demographics.com/coffee-county-demographics" TargetMode="External"/><Relationship Id="rId21" Type="http://schemas.openxmlformats.org/officeDocument/2006/relationships/hyperlink" Target="https://www.tennessee-demographics.com/hamblen-county-demographics" TargetMode="External"/><Relationship Id="rId42" Type="http://schemas.openxmlformats.org/officeDocument/2006/relationships/hyperlink" Target="https://www.tennessee-demographics.com/cocke-county-demographics" TargetMode="External"/><Relationship Id="rId47" Type="http://schemas.openxmlformats.org/officeDocument/2006/relationships/hyperlink" Target="https://www.tennessee-demographics.com/henry-county-demographics" TargetMode="External"/><Relationship Id="rId63" Type="http://schemas.openxmlformats.org/officeDocument/2006/relationships/hyperlink" Target="https://www.tennessee-demographics.com/scott-county-demographics" TargetMode="External"/><Relationship Id="rId68" Type="http://schemas.openxmlformats.org/officeDocument/2006/relationships/hyperlink" Target="https://www.tennessee-demographics.com/humphreys-county-demographics" TargetMode="External"/><Relationship Id="rId84" Type="http://schemas.openxmlformats.org/officeDocument/2006/relationships/hyperlink" Target="https://www.tennessee-demographics.com/lewis-county-demographics" TargetMode="External"/><Relationship Id="rId89" Type="http://schemas.openxmlformats.org/officeDocument/2006/relationships/hyperlink" Target="https://www.tennessee-demographics.com/perry-county-demographics" TargetMode="External"/><Relationship Id="rId16" Type="http://schemas.openxmlformats.org/officeDocument/2006/relationships/hyperlink" Target="https://www.tennessee-demographics.com/maury-county-demographics" TargetMode="External"/><Relationship Id="rId11" Type="http://schemas.openxmlformats.org/officeDocument/2006/relationships/hyperlink" Target="https://www.tennessee-demographics.com/blount-county-demographics" TargetMode="External"/><Relationship Id="rId32" Type="http://schemas.openxmlformats.org/officeDocument/2006/relationships/hyperlink" Target="https://www.tennessee-demographics.com/gibson-county-demographics" TargetMode="External"/><Relationship Id="rId37" Type="http://schemas.openxmlformats.org/officeDocument/2006/relationships/hyperlink" Target="https://www.tennessee-demographics.com/warren-county-demographics" TargetMode="External"/><Relationship Id="rId53" Type="http://schemas.openxmlformats.org/officeDocument/2006/relationships/hyperlink" Target="https://www.tennessee-demographics.com/carroll-county-demographics" TargetMode="External"/><Relationship Id="rId58" Type="http://schemas.openxmlformats.org/officeDocument/2006/relationships/hyperlink" Target="https://www.tennessee-demographics.com/hardeman-county-demographics" TargetMode="External"/><Relationship Id="rId74" Type="http://schemas.openxmlformats.org/officeDocument/2006/relationships/hyperlink" Target="https://www.tennessee-demographics.com/polk-county-demographics" TargetMode="External"/><Relationship Id="rId79" Type="http://schemas.openxmlformats.org/officeDocument/2006/relationships/hyperlink" Target="https://www.tennessee-demographics.com/cannon-county-demographics" TargetMode="External"/><Relationship Id="rId5" Type="http://schemas.openxmlformats.org/officeDocument/2006/relationships/hyperlink" Target="https://www.tennessee-demographics.com/rutherford-county-demographics" TargetMode="External"/><Relationship Id="rId90" Type="http://schemas.openxmlformats.org/officeDocument/2006/relationships/hyperlink" Target="https://www.tennessee-demographics.com/clay-county-demographics" TargetMode="External"/><Relationship Id="rId95" Type="http://schemas.openxmlformats.org/officeDocument/2006/relationships/hyperlink" Target="https://www.tennessee-demographics.com/pickett-county-demographics" TargetMode="External"/><Relationship Id="rId22" Type="http://schemas.openxmlformats.org/officeDocument/2006/relationships/hyperlink" Target="https://www.tennessee-demographics.com/tipton-county-demographics" TargetMode="External"/><Relationship Id="rId27" Type="http://schemas.openxmlformats.org/officeDocument/2006/relationships/hyperlink" Target="https://www.tennessee-demographics.com/jefferson-county-demographics" TargetMode="External"/><Relationship Id="rId43" Type="http://schemas.openxmlformats.org/officeDocument/2006/relationships/hyperlink" Target="https://www.tennessee-demographics.com/lincoln-county-demographics" TargetMode="External"/><Relationship Id="rId48" Type="http://schemas.openxmlformats.org/officeDocument/2006/relationships/hyperlink" Target="https://www.tennessee-demographics.com/claiborne-county-demographics" TargetMode="External"/><Relationship Id="rId64" Type="http://schemas.openxmlformats.org/officeDocument/2006/relationships/hyperlink" Target="https://www.tennessee-demographics.com/morgan-county-demographics" TargetMode="External"/><Relationship Id="rId69" Type="http://schemas.openxmlformats.org/officeDocument/2006/relationships/hyperlink" Target="https://www.tennessee-demographics.com/fentress-county-demographics" TargetMode="External"/><Relationship Id="rId80" Type="http://schemas.openxmlformats.org/officeDocument/2006/relationships/hyperlink" Target="https://www.tennessee-demographics.com/crockett-county-demographics" TargetMode="External"/><Relationship Id="rId85" Type="http://schemas.openxmlformats.org/officeDocument/2006/relationships/hyperlink" Target="https://www.tennessee-demographics.com/jackson-county-demographics" TargetMode="External"/><Relationship Id="rId3" Type="http://schemas.openxmlformats.org/officeDocument/2006/relationships/hyperlink" Target="https://www.tennessee-demographics.com/knox-county-demographics" TargetMode="External"/><Relationship Id="rId12" Type="http://schemas.openxmlformats.org/officeDocument/2006/relationships/hyperlink" Target="https://www.tennessee-demographics.com/washington-county-demographics" TargetMode="External"/><Relationship Id="rId17" Type="http://schemas.openxmlformats.org/officeDocument/2006/relationships/hyperlink" Target="https://www.tennessee-demographics.com/putnam-county-demographics" TargetMode="External"/><Relationship Id="rId25" Type="http://schemas.openxmlformats.org/officeDocument/2006/relationships/hyperlink" Target="https://www.tennessee-demographics.com/carter-county-demographics" TargetMode="External"/><Relationship Id="rId33" Type="http://schemas.openxmlformats.org/officeDocument/2006/relationships/hyperlink" Target="https://www.tennessee-demographics.com/bedford-county-demographics" TargetMode="External"/><Relationship Id="rId38" Type="http://schemas.openxmlformats.org/officeDocument/2006/relationships/hyperlink" Target="https://www.tennessee-demographics.com/fayette-county-demographics" TargetMode="External"/><Relationship Id="rId46" Type="http://schemas.openxmlformats.org/officeDocument/2006/relationships/hyperlink" Target="https://www.tennessee-demographics.com/rhea-county-demographics" TargetMode="External"/><Relationship Id="rId59" Type="http://schemas.openxmlformats.org/officeDocument/2006/relationships/hyperlink" Target="https://www.tennessee-demographics.com/hickman-county-demographics" TargetMode="External"/><Relationship Id="rId67" Type="http://schemas.openxmlformats.org/officeDocument/2006/relationships/hyperlink" Target="https://www.tennessee-demographics.com/union-county-demographics" TargetMode="External"/><Relationship Id="rId20" Type="http://schemas.openxmlformats.org/officeDocument/2006/relationships/hyperlink" Target="https://www.tennessee-demographics.com/greene-county-demographics" TargetMode="External"/><Relationship Id="rId41" Type="http://schemas.openxmlformats.org/officeDocument/2006/relationships/hyperlink" Target="https://www.tennessee-demographics.com/dyer-county-demographics" TargetMode="External"/><Relationship Id="rId54" Type="http://schemas.openxmlformats.org/officeDocument/2006/relationships/hyperlink" Target="https://www.tennessee-demographics.com/white-county-demographics" TargetMode="External"/><Relationship Id="rId62" Type="http://schemas.openxmlformats.org/officeDocument/2006/relationships/hyperlink" Target="https://www.tennessee-demographics.com/overton-county-demographics" TargetMode="External"/><Relationship Id="rId70" Type="http://schemas.openxmlformats.org/officeDocument/2006/relationships/hyperlink" Target="https://www.tennessee-demographics.com/unicoi-county-demographics" TargetMode="External"/><Relationship Id="rId75" Type="http://schemas.openxmlformats.org/officeDocument/2006/relationships/hyperlink" Target="https://www.tennessee-demographics.com/wayne-county-demographics" TargetMode="External"/><Relationship Id="rId83" Type="http://schemas.openxmlformats.org/officeDocument/2006/relationships/hyperlink" Target="https://www.tennessee-demographics.com/meigs-county-demographics" TargetMode="External"/><Relationship Id="rId88" Type="http://schemas.openxmlformats.org/officeDocument/2006/relationships/hyperlink" Target="https://www.tennessee-demographics.com/houston-county-demographics" TargetMode="External"/><Relationship Id="rId91" Type="http://schemas.openxmlformats.org/officeDocument/2006/relationships/hyperlink" Target="https://www.tennessee-demographics.com/lake-county-demographics" TargetMode="External"/><Relationship Id="rId96" Type="http://schemas.openxmlformats.org/officeDocument/2006/relationships/table" Target="../tables/table89.xml"/><Relationship Id="rId1" Type="http://schemas.openxmlformats.org/officeDocument/2006/relationships/hyperlink" Target="https://www.tennessee-demographics.com/shelby-county-demographics" TargetMode="External"/><Relationship Id="rId6" Type="http://schemas.openxmlformats.org/officeDocument/2006/relationships/hyperlink" Target="https://www.tennessee-demographics.com/williamson-county-demographics" TargetMode="External"/><Relationship Id="rId15" Type="http://schemas.openxmlformats.org/officeDocument/2006/relationships/hyperlink" Target="https://www.tennessee-demographics.com/madison-county-demographics" TargetMode="External"/><Relationship Id="rId23" Type="http://schemas.openxmlformats.org/officeDocument/2006/relationships/hyperlink" Target="https://www.tennessee-demographics.com/cumberland-county-demographics" TargetMode="External"/><Relationship Id="rId28" Type="http://schemas.openxmlformats.org/officeDocument/2006/relationships/hyperlink" Target="https://www.tennessee-demographics.com/mcminn-county-demographics" TargetMode="External"/><Relationship Id="rId36" Type="http://schemas.openxmlformats.org/officeDocument/2006/relationships/hyperlink" Target="https://www.tennessee-demographics.com/franklin-county-demographics" TargetMode="External"/><Relationship Id="rId49" Type="http://schemas.openxmlformats.org/officeDocument/2006/relationships/hyperlink" Target="https://www.tennessee-demographics.com/obion-county-demographics" TargetMode="External"/><Relationship Id="rId57" Type="http://schemas.openxmlformats.org/officeDocument/2006/relationships/hyperlink" Target="https://www.tennessee-demographics.com/hardin-county-demographics" TargetMode="External"/><Relationship Id="rId10" Type="http://schemas.openxmlformats.org/officeDocument/2006/relationships/hyperlink" Target="https://www.tennessee-demographics.com/wilson-county-demographics" TargetMode="External"/><Relationship Id="rId31" Type="http://schemas.openxmlformats.org/officeDocument/2006/relationships/hyperlink" Target="https://www.tennessee-demographics.com/loudon-county-demographics" TargetMode="External"/><Relationship Id="rId44" Type="http://schemas.openxmlformats.org/officeDocument/2006/relationships/hyperlink" Target="https://www.tennessee-demographics.com/marshall-county-demographics" TargetMode="External"/><Relationship Id="rId52" Type="http://schemas.openxmlformats.org/officeDocument/2006/relationships/hyperlink" Target="https://www.tennessee-demographics.com/henderson-county-demographics" TargetMode="External"/><Relationship Id="rId60" Type="http://schemas.openxmlformats.org/officeDocument/2006/relationships/hyperlink" Target="https://www.tennessee-demographics.com/macon-county-demographics" TargetMode="External"/><Relationship Id="rId65" Type="http://schemas.openxmlformats.org/officeDocument/2006/relationships/hyperlink" Target="https://www.tennessee-demographics.com/dekalb-county-demographics" TargetMode="External"/><Relationship Id="rId73" Type="http://schemas.openxmlformats.org/officeDocument/2006/relationships/hyperlink" Target="https://www.tennessee-demographics.com/chester-county-demographics" TargetMode="External"/><Relationship Id="rId78" Type="http://schemas.openxmlformats.org/officeDocument/2006/relationships/hyperlink" Target="https://www.tennessee-demographics.com/sequatchie-county-demographics" TargetMode="External"/><Relationship Id="rId81" Type="http://schemas.openxmlformats.org/officeDocument/2006/relationships/hyperlink" Target="https://www.tennessee-demographics.com/stewart-county-demographics" TargetMode="External"/><Relationship Id="rId86" Type="http://schemas.openxmlformats.org/officeDocument/2006/relationships/hyperlink" Target="https://www.tennessee-demographics.com/decatur-county-demographics" TargetMode="External"/><Relationship Id="rId94" Type="http://schemas.openxmlformats.org/officeDocument/2006/relationships/hyperlink" Target="https://www.tennessee-demographics.com/van-buren-county-demographics" TargetMode="External"/><Relationship Id="rId4" Type="http://schemas.openxmlformats.org/officeDocument/2006/relationships/hyperlink" Target="https://www.tennessee-demographics.com/hamilton-county-demographics" TargetMode="External"/><Relationship Id="rId9" Type="http://schemas.openxmlformats.org/officeDocument/2006/relationships/hyperlink" Target="https://www.tennessee-demographics.com/sullivan-county-demographics" TargetMode="External"/><Relationship Id="rId13" Type="http://schemas.openxmlformats.org/officeDocument/2006/relationships/hyperlink" Target="https://www.tennessee-demographics.com/bradley-county-demographics" TargetMode="External"/><Relationship Id="rId18" Type="http://schemas.openxmlformats.org/officeDocument/2006/relationships/hyperlink" Target="https://www.tennessee-demographics.com/anderson-county-demographics" TargetMode="External"/><Relationship Id="rId39" Type="http://schemas.openxmlformats.org/officeDocument/2006/relationships/hyperlink" Target="https://www.tennessee-demographics.com/cheatham-county-demographics" TargetMode="External"/><Relationship Id="rId34" Type="http://schemas.openxmlformats.org/officeDocument/2006/relationships/hyperlink" Target="https://www.tennessee-demographics.com/monroe-county-demographics" TargetMode="External"/><Relationship Id="rId50" Type="http://schemas.openxmlformats.org/officeDocument/2006/relationships/hyperlink" Target="https://www.tennessee-demographics.com/giles-county-demographics" TargetMode="External"/><Relationship Id="rId55" Type="http://schemas.openxmlformats.org/officeDocument/2006/relationships/hyperlink" Target="https://www.tennessee-demographics.com/mcnairy-county-demographics" TargetMode="External"/><Relationship Id="rId76" Type="http://schemas.openxmlformats.org/officeDocument/2006/relationships/hyperlink" Target="https://www.tennessee-demographics.com/benton-county-demographics" TargetMode="External"/><Relationship Id="rId97" Type="http://schemas.openxmlformats.org/officeDocument/2006/relationships/table" Target="../tables/table90.xml"/><Relationship Id="rId7" Type="http://schemas.openxmlformats.org/officeDocument/2006/relationships/hyperlink" Target="https://www.tennessee-demographics.com/montgomery-county-demographics" TargetMode="External"/><Relationship Id="rId71" Type="http://schemas.openxmlformats.org/officeDocument/2006/relationships/hyperlink" Target="https://www.tennessee-demographics.com/johnson-county-demographics" TargetMode="External"/><Relationship Id="rId92" Type="http://schemas.openxmlformats.org/officeDocument/2006/relationships/hyperlink" Target="https://www.tennessee-demographics.com/hancock-county-demographics" TargetMode="External"/><Relationship Id="rId2" Type="http://schemas.openxmlformats.org/officeDocument/2006/relationships/hyperlink" Target="https://www.tennessee-demographics.com/davidson-county-demographics" TargetMode="External"/><Relationship Id="rId29" Type="http://schemas.openxmlformats.org/officeDocument/2006/relationships/hyperlink" Target="https://www.tennessee-demographics.com/roane-county-demographics" TargetMode="External"/><Relationship Id="rId24" Type="http://schemas.openxmlformats.org/officeDocument/2006/relationships/hyperlink" Target="https://www.tennessee-demographics.com/hawkins-county-demographics" TargetMode="External"/><Relationship Id="rId40" Type="http://schemas.openxmlformats.org/officeDocument/2006/relationships/hyperlink" Target="https://www.tennessee-demographics.com/campbell-county-demographics" TargetMode="External"/><Relationship Id="rId45" Type="http://schemas.openxmlformats.org/officeDocument/2006/relationships/hyperlink" Target="https://www.tennessee-demographics.com/weakley-county-demographics" TargetMode="External"/><Relationship Id="rId66" Type="http://schemas.openxmlformats.org/officeDocument/2006/relationships/hyperlink" Target="https://www.tennessee-demographics.com/smith-county-demographics" TargetMode="External"/><Relationship Id="rId87" Type="http://schemas.openxmlformats.org/officeDocument/2006/relationships/hyperlink" Target="https://www.tennessee-demographics.com/trousdale-county-demographics" TargetMode="External"/><Relationship Id="rId61" Type="http://schemas.openxmlformats.org/officeDocument/2006/relationships/hyperlink" Target="https://www.tennessee-demographics.com/grainger-county-demographics" TargetMode="External"/><Relationship Id="rId82" Type="http://schemas.openxmlformats.org/officeDocument/2006/relationships/hyperlink" Target="https://www.tennessee-demographics.com/grundy-county-demographics" TargetMode="External"/><Relationship Id="rId19" Type="http://schemas.openxmlformats.org/officeDocument/2006/relationships/hyperlink" Target="https://www.tennessee-demographics.com/robertson-county-demographics" TargetMode="External"/><Relationship Id="rId14" Type="http://schemas.openxmlformats.org/officeDocument/2006/relationships/hyperlink" Target="https://www.tennessee-demographics.com/sevier-county-demographics" TargetMode="External"/><Relationship Id="rId30" Type="http://schemas.openxmlformats.org/officeDocument/2006/relationships/hyperlink" Target="https://www.tennessee-demographics.com/dickson-county-demographics" TargetMode="External"/><Relationship Id="rId35" Type="http://schemas.openxmlformats.org/officeDocument/2006/relationships/hyperlink" Target="https://www.tennessee-demographics.com/lawrence-county-demographics" TargetMode="External"/><Relationship Id="rId56" Type="http://schemas.openxmlformats.org/officeDocument/2006/relationships/hyperlink" Target="https://www.tennessee-demographics.com/lauderdale-county-demographics" TargetMode="External"/><Relationship Id="rId77" Type="http://schemas.openxmlformats.org/officeDocument/2006/relationships/hyperlink" Target="https://www.tennessee-demographics.com/bledsoe-county-demographics" TargetMode="External"/><Relationship Id="rId8" Type="http://schemas.openxmlformats.org/officeDocument/2006/relationships/hyperlink" Target="https://www.tennessee-demographics.com/sumner-county-demographics" TargetMode="External"/><Relationship Id="rId51" Type="http://schemas.openxmlformats.org/officeDocument/2006/relationships/hyperlink" Target="https://www.tennessee-demographics.com/marion-county-demographics" TargetMode="External"/><Relationship Id="rId72" Type="http://schemas.openxmlformats.org/officeDocument/2006/relationships/hyperlink" Target="https://www.tennessee-demographics.com/haywood-county-demographics" TargetMode="External"/><Relationship Id="rId93" Type="http://schemas.openxmlformats.org/officeDocument/2006/relationships/hyperlink" Target="https://www.tennessee-demographics.com/moore-county-demographics" TargetMode="External"/><Relationship Id="rId98" Type="http://schemas.openxmlformats.org/officeDocument/2006/relationships/table" Target="../tables/table91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wjersey-demographics.com/camden-county-demographics" TargetMode="External"/><Relationship Id="rId13" Type="http://schemas.openxmlformats.org/officeDocument/2006/relationships/hyperlink" Target="https://www.newjersey-demographics.com/somerset-county-demographics" TargetMode="External"/><Relationship Id="rId18" Type="http://schemas.openxmlformats.org/officeDocument/2006/relationships/hyperlink" Target="https://www.newjersey-demographics.com/hunterdon-county-demographics" TargetMode="External"/><Relationship Id="rId3" Type="http://schemas.openxmlformats.org/officeDocument/2006/relationships/hyperlink" Target="https://www.newjersey-demographics.com/essex-county-demographics" TargetMode="External"/><Relationship Id="rId21" Type="http://schemas.openxmlformats.org/officeDocument/2006/relationships/hyperlink" Target="https://www.newjersey-demographics.com/salem-county-demographics" TargetMode="External"/><Relationship Id="rId7" Type="http://schemas.openxmlformats.org/officeDocument/2006/relationships/hyperlink" Target="https://www.newjersey-demographics.com/union-county-demographics" TargetMode="External"/><Relationship Id="rId12" Type="http://schemas.openxmlformats.org/officeDocument/2006/relationships/hyperlink" Target="https://www.newjersey-demographics.com/mercer-county-demographics" TargetMode="External"/><Relationship Id="rId17" Type="http://schemas.openxmlformats.org/officeDocument/2006/relationships/hyperlink" Target="https://www.newjersey-demographics.com/sussex-county-demographics" TargetMode="External"/><Relationship Id="rId2" Type="http://schemas.openxmlformats.org/officeDocument/2006/relationships/hyperlink" Target="https://www.newjersey-demographics.com/middlesex-county-demographics" TargetMode="External"/><Relationship Id="rId16" Type="http://schemas.openxmlformats.org/officeDocument/2006/relationships/hyperlink" Target="https://www.newjersey-demographics.com/cumberland-county-demographics" TargetMode="External"/><Relationship Id="rId20" Type="http://schemas.openxmlformats.org/officeDocument/2006/relationships/hyperlink" Target="https://www.newjersey-demographics.com/cape-may-county-demographics" TargetMode="External"/><Relationship Id="rId1" Type="http://schemas.openxmlformats.org/officeDocument/2006/relationships/hyperlink" Target="https://www.newjersey-demographics.com/bergen-county-demographics" TargetMode="External"/><Relationship Id="rId6" Type="http://schemas.openxmlformats.org/officeDocument/2006/relationships/hyperlink" Target="https://www.newjersey-demographics.com/ocean-county-demographics" TargetMode="External"/><Relationship Id="rId11" Type="http://schemas.openxmlformats.org/officeDocument/2006/relationships/hyperlink" Target="https://www.newjersey-demographics.com/burlington-county-demographics" TargetMode="External"/><Relationship Id="rId5" Type="http://schemas.openxmlformats.org/officeDocument/2006/relationships/hyperlink" Target="https://www.newjersey-demographics.com/monmouth-county-demographics" TargetMode="External"/><Relationship Id="rId15" Type="http://schemas.openxmlformats.org/officeDocument/2006/relationships/hyperlink" Target="https://www.newjersey-demographics.com/atlantic-county-demographics" TargetMode="External"/><Relationship Id="rId23" Type="http://schemas.openxmlformats.org/officeDocument/2006/relationships/table" Target="../tables/table93.xml"/><Relationship Id="rId10" Type="http://schemas.openxmlformats.org/officeDocument/2006/relationships/hyperlink" Target="https://www.newjersey-demographics.com/morris-county-demographics" TargetMode="External"/><Relationship Id="rId19" Type="http://schemas.openxmlformats.org/officeDocument/2006/relationships/hyperlink" Target="https://www.newjersey-demographics.com/warren-county-demographics" TargetMode="External"/><Relationship Id="rId4" Type="http://schemas.openxmlformats.org/officeDocument/2006/relationships/hyperlink" Target="https://www.newjersey-demographics.com/hudson-county-demographics" TargetMode="External"/><Relationship Id="rId9" Type="http://schemas.openxmlformats.org/officeDocument/2006/relationships/hyperlink" Target="https://www.newjersey-demographics.com/passaic-county-demographics" TargetMode="External"/><Relationship Id="rId14" Type="http://schemas.openxmlformats.org/officeDocument/2006/relationships/hyperlink" Target="https://www.newjersey-demographics.com/gloucester-county-demographics" TargetMode="External"/><Relationship Id="rId22" Type="http://schemas.openxmlformats.org/officeDocument/2006/relationships/table" Target="../tables/table92.xml"/></Relationships>
</file>

<file path=xl/worksheets/_rels/sheet3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egon-demographics.com/polk-county-demographics" TargetMode="External"/><Relationship Id="rId18" Type="http://schemas.openxmlformats.org/officeDocument/2006/relationships/hyperlink" Target="https://www.oregon-demographics.com/lincoln-county-demographics" TargetMode="External"/><Relationship Id="rId26" Type="http://schemas.openxmlformats.org/officeDocument/2006/relationships/hyperlink" Target="https://www.oregon-demographics.com/hood-river-county-demographics" TargetMode="External"/><Relationship Id="rId3" Type="http://schemas.openxmlformats.org/officeDocument/2006/relationships/hyperlink" Target="https://www.oregon-demographics.com/clackamas-county-demographics" TargetMode="External"/><Relationship Id="rId21" Type="http://schemas.openxmlformats.org/officeDocument/2006/relationships/hyperlink" Target="https://www.oregon-demographics.com/tillamook-county-demographics" TargetMode="External"/><Relationship Id="rId34" Type="http://schemas.openxmlformats.org/officeDocument/2006/relationships/hyperlink" Target="https://www.oregon-demographics.com/gilliam-county-demographics" TargetMode="External"/><Relationship Id="rId7" Type="http://schemas.openxmlformats.org/officeDocument/2006/relationships/hyperlink" Target="https://www.oregon-demographics.com/deschutes-county-demographics" TargetMode="External"/><Relationship Id="rId12" Type="http://schemas.openxmlformats.org/officeDocument/2006/relationships/hyperlink" Target="https://www.oregon-demographics.com/josephine-county-demographics" TargetMode="External"/><Relationship Id="rId17" Type="http://schemas.openxmlformats.org/officeDocument/2006/relationships/hyperlink" Target="https://www.oregon-demographics.com/columbia-county-demographics" TargetMode="External"/><Relationship Id="rId25" Type="http://schemas.openxmlformats.org/officeDocument/2006/relationships/hyperlink" Target="https://www.oregon-demographics.com/crook-county-demographics" TargetMode="External"/><Relationship Id="rId33" Type="http://schemas.openxmlformats.org/officeDocument/2006/relationships/hyperlink" Target="https://www.oregon-demographics.com/wallowa-county-demographics" TargetMode="External"/><Relationship Id="rId2" Type="http://schemas.openxmlformats.org/officeDocument/2006/relationships/hyperlink" Target="https://www.oregon-demographics.com/washington-county-demographics" TargetMode="External"/><Relationship Id="rId16" Type="http://schemas.openxmlformats.org/officeDocument/2006/relationships/hyperlink" Target="https://www.oregon-demographics.com/coos-county-demographics" TargetMode="External"/><Relationship Id="rId20" Type="http://schemas.openxmlformats.org/officeDocument/2006/relationships/hyperlink" Target="https://www.oregon-demographics.com/malheur-county-demographics" TargetMode="External"/><Relationship Id="rId29" Type="http://schemas.openxmlformats.org/officeDocument/2006/relationships/hyperlink" Target="https://www.oregon-demographics.com/morrow-county-demographics" TargetMode="External"/><Relationship Id="rId1" Type="http://schemas.openxmlformats.org/officeDocument/2006/relationships/hyperlink" Target="https://www.oregon-demographics.com/multnomah-county-demographics" TargetMode="External"/><Relationship Id="rId6" Type="http://schemas.openxmlformats.org/officeDocument/2006/relationships/hyperlink" Target="https://www.oregon-demographics.com/jackson-county-demographics" TargetMode="External"/><Relationship Id="rId11" Type="http://schemas.openxmlformats.org/officeDocument/2006/relationships/hyperlink" Target="https://www.oregon-demographics.com/benton-county-demographics" TargetMode="External"/><Relationship Id="rId24" Type="http://schemas.openxmlformats.org/officeDocument/2006/relationships/hyperlink" Target="https://www.oregon-demographics.com/jefferson-county-demographics" TargetMode="External"/><Relationship Id="rId32" Type="http://schemas.openxmlformats.org/officeDocument/2006/relationships/hyperlink" Target="https://www.oregon-demographics.com/grant-county-demographics" TargetMode="External"/><Relationship Id="rId5" Type="http://schemas.openxmlformats.org/officeDocument/2006/relationships/hyperlink" Target="https://www.oregon-demographics.com/marion-county-demographics" TargetMode="External"/><Relationship Id="rId15" Type="http://schemas.openxmlformats.org/officeDocument/2006/relationships/hyperlink" Target="https://www.oregon-demographics.com/klamath-county-demographics" TargetMode="External"/><Relationship Id="rId23" Type="http://schemas.openxmlformats.org/officeDocument/2006/relationships/hyperlink" Target="https://www.oregon-demographics.com/wasco-county-demographics" TargetMode="External"/><Relationship Id="rId28" Type="http://schemas.openxmlformats.org/officeDocument/2006/relationships/hyperlink" Target="https://www.oregon-demographics.com/baker-county-demographics" TargetMode="External"/><Relationship Id="rId36" Type="http://schemas.openxmlformats.org/officeDocument/2006/relationships/table" Target="../tables/table95.xml"/><Relationship Id="rId10" Type="http://schemas.openxmlformats.org/officeDocument/2006/relationships/hyperlink" Target="https://www.oregon-demographics.com/yamhill-county-demographics" TargetMode="External"/><Relationship Id="rId19" Type="http://schemas.openxmlformats.org/officeDocument/2006/relationships/hyperlink" Target="https://www.oregon-demographics.com/clatsop-county-demographics" TargetMode="External"/><Relationship Id="rId31" Type="http://schemas.openxmlformats.org/officeDocument/2006/relationships/hyperlink" Target="https://www.oregon-demographics.com/harney-county-demographics" TargetMode="External"/><Relationship Id="rId4" Type="http://schemas.openxmlformats.org/officeDocument/2006/relationships/hyperlink" Target="https://www.oregon-demographics.com/lane-county-demographics" TargetMode="External"/><Relationship Id="rId9" Type="http://schemas.openxmlformats.org/officeDocument/2006/relationships/hyperlink" Target="https://www.oregon-demographics.com/douglas-county-demographics" TargetMode="External"/><Relationship Id="rId14" Type="http://schemas.openxmlformats.org/officeDocument/2006/relationships/hyperlink" Target="https://www.oregon-demographics.com/umatilla-county-demographics" TargetMode="External"/><Relationship Id="rId22" Type="http://schemas.openxmlformats.org/officeDocument/2006/relationships/hyperlink" Target="https://www.oregon-demographics.com/union-county-demographics" TargetMode="External"/><Relationship Id="rId27" Type="http://schemas.openxmlformats.org/officeDocument/2006/relationships/hyperlink" Target="https://www.oregon-demographics.com/curry-county-demographics" TargetMode="External"/><Relationship Id="rId30" Type="http://schemas.openxmlformats.org/officeDocument/2006/relationships/hyperlink" Target="https://www.oregon-demographics.com/lake-county-demographics" TargetMode="External"/><Relationship Id="rId35" Type="http://schemas.openxmlformats.org/officeDocument/2006/relationships/table" Target="../tables/table94.xml"/><Relationship Id="rId8" Type="http://schemas.openxmlformats.org/officeDocument/2006/relationships/hyperlink" Target="https://www.oregon-demographics.com/linn-county-demographics" TargetMode="External"/></Relationships>
</file>

<file path=xl/worksheets/_rels/sheet3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xas-demographics.com/johnson-county-demographics" TargetMode="External"/><Relationship Id="rId21" Type="http://schemas.openxmlformats.org/officeDocument/2006/relationships/hyperlink" Target="https://www.texas-demographics.com/jefferson-county-demographics" TargetMode="External"/><Relationship Id="rId42" Type="http://schemas.openxmlformats.org/officeDocument/2006/relationships/hyperlink" Target="https://www.texas-demographics.com/bowie-county-demographics" TargetMode="External"/><Relationship Id="rId47" Type="http://schemas.openxmlformats.org/officeDocument/2006/relationships/hyperlink" Target="https://www.texas-demographics.com/orange-county-demographics" TargetMode="External"/><Relationship Id="rId63" Type="http://schemas.openxmlformats.org/officeDocument/2006/relationships/hyperlink" Target="https://www.texas-demographics.com/cherokee-county-demographics" TargetMode="External"/><Relationship Id="rId68" Type="http://schemas.openxmlformats.org/officeDocument/2006/relationships/hyperlink" Target="https://www.texas-demographics.com/wilson-county-demographics" TargetMode="External"/><Relationship Id="rId84" Type="http://schemas.openxmlformats.org/officeDocument/2006/relationships/hyperlink" Target="https://www.texas-demographics.com/hopkins-county-demographics" TargetMode="External"/><Relationship Id="rId89" Type="http://schemas.openxmlformats.org/officeDocument/2006/relationships/hyperlink" Target="https://www.texas-demographics.com/fannin-county-demographics" TargetMode="External"/><Relationship Id="rId16" Type="http://schemas.openxmlformats.org/officeDocument/2006/relationships/hyperlink" Target="https://www.texas-demographics.com/bell-county-demographics" TargetMode="External"/><Relationship Id="rId11" Type="http://schemas.openxmlformats.org/officeDocument/2006/relationships/hyperlink" Target="https://www.texas-demographics.com/montgomery-county-demographics" TargetMode="External"/><Relationship Id="rId32" Type="http://schemas.openxmlformats.org/officeDocument/2006/relationships/hyperlink" Target="https://www.texas-demographics.com/taylor-county-demographics" TargetMode="External"/><Relationship Id="rId37" Type="http://schemas.openxmlformats.org/officeDocument/2006/relationships/hyperlink" Target="https://www.texas-demographics.com/gregg-county-demographics" TargetMode="External"/><Relationship Id="rId53" Type="http://schemas.openxmlformats.org/officeDocument/2006/relationships/hyperlink" Target="https://www.texas-demographics.com/harrison-county-demographics" TargetMode="External"/><Relationship Id="rId58" Type="http://schemas.openxmlformats.org/officeDocument/2006/relationships/hyperlink" Target="https://www.texas-demographics.com/anderson-county-demographics" TargetMode="External"/><Relationship Id="rId74" Type="http://schemas.openxmlformats.org/officeDocument/2006/relationships/hyperlink" Target="https://www.texas-demographics.com/wood-county-demographics" TargetMode="External"/><Relationship Id="rId79" Type="http://schemas.openxmlformats.org/officeDocument/2006/relationships/hyperlink" Target="https://www.texas-demographics.com/upshur-county-demographics" TargetMode="External"/><Relationship Id="rId102" Type="http://schemas.openxmlformats.org/officeDocument/2006/relationships/table" Target="../tables/table97.xml"/><Relationship Id="rId5" Type="http://schemas.openxmlformats.org/officeDocument/2006/relationships/hyperlink" Target="https://www.texas-demographics.com/travis-county-demographics" TargetMode="External"/><Relationship Id="rId90" Type="http://schemas.openxmlformats.org/officeDocument/2006/relationships/hyperlink" Target="https://www.texas-demographics.com/hale-county-demographics" TargetMode="External"/><Relationship Id="rId95" Type="http://schemas.openxmlformats.org/officeDocument/2006/relationships/hyperlink" Target="https://www.texas-demographics.com/austin-county-demographics" TargetMode="External"/><Relationship Id="rId22" Type="http://schemas.openxmlformats.org/officeDocument/2006/relationships/hyperlink" Target="https://www.texas-demographics.com/smith-county-demographics" TargetMode="External"/><Relationship Id="rId27" Type="http://schemas.openxmlformats.org/officeDocument/2006/relationships/hyperlink" Target="https://www.texas-demographics.com/midland-county-demographics" TargetMode="External"/><Relationship Id="rId43" Type="http://schemas.openxmlformats.org/officeDocument/2006/relationships/hyperlink" Target="https://www.texas-demographics.com/victoria-county-demographics" TargetMode="External"/><Relationship Id="rId48" Type="http://schemas.openxmlformats.org/officeDocument/2006/relationships/hyperlink" Target="https://www.texas-demographics.com/henderson-county-demographics" TargetMode="External"/><Relationship Id="rId64" Type="http://schemas.openxmlformats.org/officeDocument/2006/relationships/hyperlink" Target="https://www.texas-demographics.com/kerr-county-demographics" TargetMode="External"/><Relationship Id="rId69" Type="http://schemas.openxmlformats.org/officeDocument/2006/relationships/hyperlink" Target="https://www.texas-demographics.com/lamar-county-demographics" TargetMode="External"/><Relationship Id="rId80" Type="http://schemas.openxmlformats.org/officeDocument/2006/relationships/hyperlink" Target="https://www.texas-demographics.com/jim-wells-county-demographics" TargetMode="External"/><Relationship Id="rId85" Type="http://schemas.openxmlformats.org/officeDocument/2006/relationships/hyperlink" Target="https://www.texas-demographics.com/howard-county-demographics" TargetMode="External"/><Relationship Id="rId12" Type="http://schemas.openxmlformats.org/officeDocument/2006/relationships/hyperlink" Target="https://www.texas-demographics.com/williamson-county-demographics" TargetMode="External"/><Relationship Id="rId17" Type="http://schemas.openxmlformats.org/officeDocument/2006/relationships/hyperlink" Target="https://www.texas-demographics.com/galveston-county-demographics" TargetMode="External"/><Relationship Id="rId25" Type="http://schemas.openxmlformats.org/officeDocument/2006/relationships/hyperlink" Target="https://www.texas-demographics.com/ellis-county-demographics" TargetMode="External"/><Relationship Id="rId33" Type="http://schemas.openxmlformats.org/officeDocument/2006/relationships/hyperlink" Target="https://www.texas-demographics.com/randall-county-demographics" TargetMode="External"/><Relationship Id="rId38" Type="http://schemas.openxmlformats.org/officeDocument/2006/relationships/hyperlink" Target="https://www.texas-demographics.com/tom-green-county-demographics" TargetMode="External"/><Relationship Id="rId46" Type="http://schemas.openxmlformats.org/officeDocument/2006/relationships/hyperlink" Target="https://www.texas-demographics.com/liberty-county-demographics" TargetMode="External"/><Relationship Id="rId59" Type="http://schemas.openxmlformats.org/officeDocument/2006/relationships/hyperlink" Target="https://www.texas-demographics.com/hardin-county-demographics" TargetMode="External"/><Relationship Id="rId67" Type="http://schemas.openxmlformats.org/officeDocument/2006/relationships/hyperlink" Target="https://www.texas-demographics.com/polk-county-demographics" TargetMode="External"/><Relationship Id="rId20" Type="http://schemas.openxmlformats.org/officeDocument/2006/relationships/hyperlink" Target="https://www.texas-demographics.com/mclennan-county-demographics" TargetMode="External"/><Relationship Id="rId41" Type="http://schemas.openxmlformats.org/officeDocument/2006/relationships/hyperlink" Target="https://www.texas-demographics.com/hunt-county-demographics" TargetMode="External"/><Relationship Id="rId54" Type="http://schemas.openxmlformats.org/officeDocument/2006/relationships/hyperlink" Target="https://www.texas-demographics.com/nacogdoches-county-demographics" TargetMode="External"/><Relationship Id="rId62" Type="http://schemas.openxmlformats.org/officeDocument/2006/relationships/hyperlink" Target="https://www.texas-demographics.com/waller-county-demographics" TargetMode="External"/><Relationship Id="rId70" Type="http://schemas.openxmlformats.org/officeDocument/2006/relationships/hyperlink" Target="https://www.texas-demographics.com/navarro-county-demographics" TargetMode="External"/><Relationship Id="rId75" Type="http://schemas.openxmlformats.org/officeDocument/2006/relationships/hyperlink" Target="https://www.texas-demographics.com/caldwell-county-demographics" TargetMode="External"/><Relationship Id="rId83" Type="http://schemas.openxmlformats.org/officeDocument/2006/relationships/hyperlink" Target="https://www.texas-demographics.com/matagorda-county-demographics" TargetMode="External"/><Relationship Id="rId88" Type="http://schemas.openxmlformats.org/officeDocument/2006/relationships/hyperlink" Target="https://www.texas-demographics.com/washington-county-demographics" TargetMode="External"/><Relationship Id="rId91" Type="http://schemas.openxmlformats.org/officeDocument/2006/relationships/hyperlink" Target="https://www.texas-demographics.com/titus-county-demographics" TargetMode="External"/><Relationship Id="rId96" Type="http://schemas.openxmlformats.org/officeDocument/2006/relationships/hyperlink" Target="https://www.texas-demographics.com/palo-pinto-county-demographics" TargetMode="External"/><Relationship Id="rId1" Type="http://schemas.openxmlformats.org/officeDocument/2006/relationships/hyperlink" Target="https://www.texas-demographics.com/harris-county-demographics" TargetMode="External"/><Relationship Id="rId6" Type="http://schemas.openxmlformats.org/officeDocument/2006/relationships/hyperlink" Target="https://www.texas-demographics.com/collin-county-demographics" TargetMode="External"/><Relationship Id="rId15" Type="http://schemas.openxmlformats.org/officeDocument/2006/relationships/hyperlink" Target="https://www.texas-demographics.com/nueces-county-demographics" TargetMode="External"/><Relationship Id="rId23" Type="http://schemas.openxmlformats.org/officeDocument/2006/relationships/hyperlink" Target="https://www.texas-demographics.com/brazos-county-demographics" TargetMode="External"/><Relationship Id="rId28" Type="http://schemas.openxmlformats.org/officeDocument/2006/relationships/hyperlink" Target="https://www.texas-demographics.com/guadalupe-county-demographics" TargetMode="External"/><Relationship Id="rId36" Type="http://schemas.openxmlformats.org/officeDocument/2006/relationships/hyperlink" Target="https://www.texas-demographics.com/kaufman-county-demographics" TargetMode="External"/><Relationship Id="rId49" Type="http://schemas.openxmlformats.org/officeDocument/2006/relationships/hyperlink" Target="https://www.texas-demographics.com/coryell-county-demographics" TargetMode="External"/><Relationship Id="rId57" Type="http://schemas.openxmlformats.org/officeDocument/2006/relationships/hyperlink" Target="https://www.texas-demographics.com/maverick-county-demographics" TargetMode="External"/><Relationship Id="rId10" Type="http://schemas.openxmlformats.org/officeDocument/2006/relationships/hyperlink" Target="https://www.texas-demographics.com/fort-bend-county-demographics" TargetMode="External"/><Relationship Id="rId31" Type="http://schemas.openxmlformats.org/officeDocument/2006/relationships/hyperlink" Target="https://www.texas-demographics.com/parker-county-demographics" TargetMode="External"/><Relationship Id="rId44" Type="http://schemas.openxmlformats.org/officeDocument/2006/relationships/hyperlink" Target="https://www.texas-demographics.com/angelina-county-demographics" TargetMode="External"/><Relationship Id="rId52" Type="http://schemas.openxmlformats.org/officeDocument/2006/relationships/hyperlink" Target="https://www.texas-demographics.com/san-patricio-county-demographics" TargetMode="External"/><Relationship Id="rId60" Type="http://schemas.openxmlformats.org/officeDocument/2006/relationships/hyperlink" Target="https://www.texas-demographics.com/van-zandt-county-demographics" TargetMode="External"/><Relationship Id="rId65" Type="http://schemas.openxmlformats.org/officeDocument/2006/relationships/hyperlink" Target="https://www.texas-demographics.com/medina-county-demographics" TargetMode="External"/><Relationship Id="rId73" Type="http://schemas.openxmlformats.org/officeDocument/2006/relationships/hyperlink" Target="https://www.texas-demographics.com/kendall-county-demographics" TargetMode="External"/><Relationship Id="rId78" Type="http://schemas.openxmlformats.org/officeDocument/2006/relationships/hyperlink" Target="https://www.texas-demographics.com/wharton-county-demographics" TargetMode="External"/><Relationship Id="rId81" Type="http://schemas.openxmlformats.org/officeDocument/2006/relationships/hyperlink" Target="https://www.texas-demographics.com/cooke-county-demographics" TargetMode="External"/><Relationship Id="rId86" Type="http://schemas.openxmlformats.org/officeDocument/2006/relationships/hyperlink" Target="https://www.texas-demographics.com/hill-county-demographics" TargetMode="External"/><Relationship Id="rId94" Type="http://schemas.openxmlformats.org/officeDocument/2006/relationships/hyperlink" Target="https://www.texas-demographics.com/cass-county-demographics" TargetMode="External"/><Relationship Id="rId99" Type="http://schemas.openxmlformats.org/officeDocument/2006/relationships/hyperlink" Target="https://www.texas-demographics.com/uvalde-county-demographics" TargetMode="External"/><Relationship Id="rId101" Type="http://schemas.openxmlformats.org/officeDocument/2006/relationships/table" Target="../tables/table96.xml"/><Relationship Id="rId4" Type="http://schemas.openxmlformats.org/officeDocument/2006/relationships/hyperlink" Target="https://www.texas-demographics.com/bexar-county-demographics" TargetMode="External"/><Relationship Id="rId9" Type="http://schemas.openxmlformats.org/officeDocument/2006/relationships/hyperlink" Target="https://www.texas-demographics.com/el-paso-county-demographics" TargetMode="External"/><Relationship Id="rId13" Type="http://schemas.openxmlformats.org/officeDocument/2006/relationships/hyperlink" Target="https://www.texas-demographics.com/cameron-county-demographics" TargetMode="External"/><Relationship Id="rId18" Type="http://schemas.openxmlformats.org/officeDocument/2006/relationships/hyperlink" Target="https://www.texas-demographics.com/lubbock-county-demographics" TargetMode="External"/><Relationship Id="rId39" Type="http://schemas.openxmlformats.org/officeDocument/2006/relationships/hyperlink" Target="https://www.texas-demographics.com/potter-county-demographics" TargetMode="External"/><Relationship Id="rId34" Type="http://schemas.openxmlformats.org/officeDocument/2006/relationships/hyperlink" Target="https://www.texas-demographics.com/grayson-county-demographics" TargetMode="External"/><Relationship Id="rId50" Type="http://schemas.openxmlformats.org/officeDocument/2006/relationships/hyperlink" Target="https://www.texas-demographics.com/walker-county-demographics" TargetMode="External"/><Relationship Id="rId55" Type="http://schemas.openxmlformats.org/officeDocument/2006/relationships/hyperlink" Target="https://www.texas-demographics.com/starr-county-demographics" TargetMode="External"/><Relationship Id="rId76" Type="http://schemas.openxmlformats.org/officeDocument/2006/relationships/hyperlink" Target="https://www.texas-demographics.com/chambers-county-demographics" TargetMode="External"/><Relationship Id="rId97" Type="http://schemas.openxmlformats.org/officeDocument/2006/relationships/hyperlink" Target="https://www.texas-demographics.com/san-jacinto-county-demographics" TargetMode="External"/><Relationship Id="rId7" Type="http://schemas.openxmlformats.org/officeDocument/2006/relationships/hyperlink" Target="https://www.texas-demographics.com/denton-county-demographics" TargetMode="External"/><Relationship Id="rId71" Type="http://schemas.openxmlformats.org/officeDocument/2006/relationships/hyperlink" Target="https://www.texas-demographics.com/val-verde-county-demographics" TargetMode="External"/><Relationship Id="rId92" Type="http://schemas.openxmlformats.org/officeDocument/2006/relationships/hyperlink" Target="https://www.texas-demographics.com/bee-county-demographics" TargetMode="External"/><Relationship Id="rId2" Type="http://schemas.openxmlformats.org/officeDocument/2006/relationships/hyperlink" Target="https://www.texas-demographics.com/dallas-county-demographics" TargetMode="External"/><Relationship Id="rId29" Type="http://schemas.openxmlformats.org/officeDocument/2006/relationships/hyperlink" Target="https://www.texas-demographics.com/ector-county-demographics" TargetMode="External"/><Relationship Id="rId24" Type="http://schemas.openxmlformats.org/officeDocument/2006/relationships/hyperlink" Target="https://www.texas-demographics.com/hays-county-demographics" TargetMode="External"/><Relationship Id="rId40" Type="http://schemas.openxmlformats.org/officeDocument/2006/relationships/hyperlink" Target="https://www.texas-demographics.com/rockwall-county-demographics" TargetMode="External"/><Relationship Id="rId45" Type="http://schemas.openxmlformats.org/officeDocument/2006/relationships/hyperlink" Target="https://www.texas-demographics.com/bastrop-county-demographics" TargetMode="External"/><Relationship Id="rId66" Type="http://schemas.openxmlformats.org/officeDocument/2006/relationships/hyperlink" Target="https://www.texas-demographics.com/atascosa-county-demographics" TargetMode="External"/><Relationship Id="rId87" Type="http://schemas.openxmlformats.org/officeDocument/2006/relationships/hyperlink" Target="https://www.texas-demographics.com/jasper-county-demographics" TargetMode="External"/><Relationship Id="rId61" Type="http://schemas.openxmlformats.org/officeDocument/2006/relationships/hyperlink" Target="https://www.texas-demographics.com/rusk-county-demographics" TargetMode="External"/><Relationship Id="rId82" Type="http://schemas.openxmlformats.org/officeDocument/2006/relationships/hyperlink" Target="https://www.texas-demographics.com/brown-county-demographics" TargetMode="External"/><Relationship Id="rId19" Type="http://schemas.openxmlformats.org/officeDocument/2006/relationships/hyperlink" Target="https://www.texas-demographics.com/webb-county-demographics" TargetMode="External"/><Relationship Id="rId14" Type="http://schemas.openxmlformats.org/officeDocument/2006/relationships/hyperlink" Target="https://www.texas-demographics.com/brazoria-county-demographics" TargetMode="External"/><Relationship Id="rId30" Type="http://schemas.openxmlformats.org/officeDocument/2006/relationships/hyperlink" Target="https://www.texas-demographics.com/comal-county-demographics" TargetMode="External"/><Relationship Id="rId35" Type="http://schemas.openxmlformats.org/officeDocument/2006/relationships/hyperlink" Target="https://www.texas-demographics.com/wichita-county-demographics" TargetMode="External"/><Relationship Id="rId56" Type="http://schemas.openxmlformats.org/officeDocument/2006/relationships/hyperlink" Target="https://www.texas-demographics.com/hood-county-demographics" TargetMode="External"/><Relationship Id="rId77" Type="http://schemas.openxmlformats.org/officeDocument/2006/relationships/hyperlink" Target="https://www.texas-demographics.com/erath-county-demographics" TargetMode="External"/><Relationship Id="rId100" Type="http://schemas.openxmlformats.org/officeDocument/2006/relationships/hyperlink" Target="https://www.texas-demographics.com/gillespie-county-demographics" TargetMode="External"/><Relationship Id="rId8" Type="http://schemas.openxmlformats.org/officeDocument/2006/relationships/hyperlink" Target="https://www.texas-demographics.com/hidalgo-county-demographics" TargetMode="External"/><Relationship Id="rId51" Type="http://schemas.openxmlformats.org/officeDocument/2006/relationships/hyperlink" Target="https://www.texas-demographics.com/wise-county-demographics" TargetMode="External"/><Relationship Id="rId72" Type="http://schemas.openxmlformats.org/officeDocument/2006/relationships/hyperlink" Target="https://www.texas-demographics.com/burnet-county-demographics" TargetMode="External"/><Relationship Id="rId93" Type="http://schemas.openxmlformats.org/officeDocument/2006/relationships/hyperlink" Target="https://www.texas-demographics.com/kleberg-county-demographics" TargetMode="External"/><Relationship Id="rId98" Type="http://schemas.openxmlformats.org/officeDocument/2006/relationships/hyperlink" Target="https://www.texas-demographics.com/grimes-county-demographics" TargetMode="External"/><Relationship Id="rId3" Type="http://schemas.openxmlformats.org/officeDocument/2006/relationships/hyperlink" Target="https://www.texas-demographics.com/tarrant-county-demographics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estvirginia-demographics.com/ohio-county-demographics" TargetMode="External"/><Relationship Id="rId18" Type="http://schemas.openxmlformats.org/officeDocument/2006/relationships/hyperlink" Target="https://www.westvirginia-demographics.com/marshall-county-demographics" TargetMode="External"/><Relationship Id="rId26" Type="http://schemas.openxmlformats.org/officeDocument/2006/relationships/hyperlink" Target="https://www.westvirginia-demographics.com/mingo-county-demographics" TargetMode="External"/><Relationship Id="rId39" Type="http://schemas.openxmlformats.org/officeDocument/2006/relationships/hyperlink" Target="https://www.westvirginia-demographics.com/roane-county-demographics" TargetMode="External"/><Relationship Id="rId21" Type="http://schemas.openxmlformats.org/officeDocument/2006/relationships/hyperlink" Target="https://www.westvirginia-demographics.com/randolph-county-demographics" TargetMode="External"/><Relationship Id="rId34" Type="http://schemas.openxmlformats.org/officeDocument/2006/relationships/hyperlink" Target="https://www.westvirginia-demographics.com/taylor-county-demographics" TargetMode="External"/><Relationship Id="rId42" Type="http://schemas.openxmlformats.org/officeDocument/2006/relationships/hyperlink" Target="https://www.westvirginia-demographics.com/summers-county-demographics" TargetMode="External"/><Relationship Id="rId47" Type="http://schemas.openxmlformats.org/officeDocument/2006/relationships/hyperlink" Target="https://www.westvirginia-demographics.com/doddridge-county-demographics" TargetMode="External"/><Relationship Id="rId50" Type="http://schemas.openxmlformats.org/officeDocument/2006/relationships/hyperlink" Target="https://www.westvirginia-demographics.com/gilmer-county-demographics" TargetMode="External"/><Relationship Id="rId55" Type="http://schemas.openxmlformats.org/officeDocument/2006/relationships/hyperlink" Target="https://www.westvirginia-demographics.com/wirt-county-demographics" TargetMode="External"/><Relationship Id="rId7" Type="http://schemas.openxmlformats.org/officeDocument/2006/relationships/hyperlink" Target="https://www.westvirginia-demographics.com/harrison-county-demographics" TargetMode="External"/><Relationship Id="rId2" Type="http://schemas.openxmlformats.org/officeDocument/2006/relationships/hyperlink" Target="https://www.westvirginia-demographics.com/berkeley-county-demographics" TargetMode="External"/><Relationship Id="rId16" Type="http://schemas.openxmlformats.org/officeDocument/2006/relationships/hyperlink" Target="https://www.westvirginia-demographics.com/preston-county-demographics" TargetMode="External"/><Relationship Id="rId29" Type="http://schemas.openxmlformats.org/officeDocument/2006/relationships/hyperlink" Target="https://www.westvirginia-demographics.com/boone-county-demographics" TargetMode="External"/><Relationship Id="rId11" Type="http://schemas.openxmlformats.org/officeDocument/2006/relationships/hyperlink" Target="https://www.westvirginia-demographics.com/marion-county-demographics" TargetMode="External"/><Relationship Id="rId24" Type="http://schemas.openxmlformats.org/officeDocument/2006/relationships/hyperlink" Target="https://www.westvirginia-demographics.com/nicholas-county-demographics" TargetMode="External"/><Relationship Id="rId32" Type="http://schemas.openxmlformats.org/officeDocument/2006/relationships/hyperlink" Target="https://www.westvirginia-demographics.com/mcdowell-county-demographics" TargetMode="External"/><Relationship Id="rId37" Type="http://schemas.openxmlformats.org/officeDocument/2006/relationships/hyperlink" Target="https://www.westvirginia-demographics.com/wetzel-county-demographics" TargetMode="External"/><Relationship Id="rId40" Type="http://schemas.openxmlformats.org/officeDocument/2006/relationships/hyperlink" Target="https://www.westvirginia-demographics.com/hardy-county-demographics" TargetMode="External"/><Relationship Id="rId45" Type="http://schemas.openxmlformats.org/officeDocument/2006/relationships/hyperlink" Target="https://www.westvirginia-demographics.com/tyler-county-demographics" TargetMode="External"/><Relationship Id="rId53" Type="http://schemas.openxmlformats.org/officeDocument/2006/relationships/hyperlink" Target="https://www.westvirginia-demographics.com/pendleton-county-demographics" TargetMode="External"/><Relationship Id="rId5" Type="http://schemas.openxmlformats.org/officeDocument/2006/relationships/hyperlink" Target="https://www.westvirginia-demographics.com/wood-county-demographics" TargetMode="External"/><Relationship Id="rId19" Type="http://schemas.openxmlformats.org/officeDocument/2006/relationships/hyperlink" Target="https://www.westvirginia-demographics.com/hancock-county-demographics" TargetMode="External"/><Relationship Id="rId4" Type="http://schemas.openxmlformats.org/officeDocument/2006/relationships/hyperlink" Target="https://www.westvirginia-demographics.com/cabell-county-demographics" TargetMode="External"/><Relationship Id="rId9" Type="http://schemas.openxmlformats.org/officeDocument/2006/relationships/hyperlink" Target="https://www.westvirginia-demographics.com/jefferson-county-demographics" TargetMode="External"/><Relationship Id="rId14" Type="http://schemas.openxmlformats.org/officeDocument/2006/relationships/hyperlink" Target="https://www.westvirginia-demographics.com/wayne-county-demographics" TargetMode="External"/><Relationship Id="rId22" Type="http://schemas.openxmlformats.org/officeDocument/2006/relationships/hyperlink" Target="https://www.westvirginia-demographics.com/mineral-county-demographics" TargetMode="External"/><Relationship Id="rId27" Type="http://schemas.openxmlformats.org/officeDocument/2006/relationships/hyperlink" Target="https://www.westvirginia-demographics.com/hampshire-county-demographics" TargetMode="External"/><Relationship Id="rId30" Type="http://schemas.openxmlformats.org/officeDocument/2006/relationships/hyperlink" Target="https://www.westvirginia-demographics.com/wyoming-county-demographics" TargetMode="External"/><Relationship Id="rId35" Type="http://schemas.openxmlformats.org/officeDocument/2006/relationships/hyperlink" Target="https://www.westvirginia-demographics.com/barbour-county-demographics" TargetMode="External"/><Relationship Id="rId43" Type="http://schemas.openxmlformats.org/officeDocument/2006/relationships/hyperlink" Target="https://www.westvirginia-demographics.com/grant-county-demographics" TargetMode="External"/><Relationship Id="rId48" Type="http://schemas.openxmlformats.org/officeDocument/2006/relationships/hyperlink" Target="https://www.westvirginia-demographics.com/pocahontas-county-demographics" TargetMode="External"/><Relationship Id="rId56" Type="http://schemas.openxmlformats.org/officeDocument/2006/relationships/table" Target="../tables/table98.xml"/><Relationship Id="rId8" Type="http://schemas.openxmlformats.org/officeDocument/2006/relationships/hyperlink" Target="https://www.westvirginia-demographics.com/mercer-county-demographics" TargetMode="External"/><Relationship Id="rId51" Type="http://schemas.openxmlformats.org/officeDocument/2006/relationships/hyperlink" Target="https://www.westvirginia-demographics.com/pleasants-county-demographics" TargetMode="External"/><Relationship Id="rId3" Type="http://schemas.openxmlformats.org/officeDocument/2006/relationships/hyperlink" Target="https://www.westvirginia-demographics.com/monongalia-county-demographics" TargetMode="External"/><Relationship Id="rId12" Type="http://schemas.openxmlformats.org/officeDocument/2006/relationships/hyperlink" Target="https://www.westvirginia-demographics.com/fayette-county-demographics" TargetMode="External"/><Relationship Id="rId17" Type="http://schemas.openxmlformats.org/officeDocument/2006/relationships/hyperlink" Target="https://www.westvirginia-demographics.com/logan-county-demographics" TargetMode="External"/><Relationship Id="rId25" Type="http://schemas.openxmlformats.org/officeDocument/2006/relationships/hyperlink" Target="https://www.westvirginia-demographics.com/upshur-county-demographics" TargetMode="External"/><Relationship Id="rId33" Type="http://schemas.openxmlformats.org/officeDocument/2006/relationships/hyperlink" Target="https://www.westvirginia-demographics.com/morgan-county-demographics" TargetMode="External"/><Relationship Id="rId38" Type="http://schemas.openxmlformats.org/officeDocument/2006/relationships/hyperlink" Target="https://www.westvirginia-demographics.com/braxton-county-demographics" TargetMode="External"/><Relationship Id="rId46" Type="http://schemas.openxmlformats.org/officeDocument/2006/relationships/hyperlink" Target="https://www.westvirginia-demographics.com/clay-county-demographics" TargetMode="External"/><Relationship Id="rId20" Type="http://schemas.openxmlformats.org/officeDocument/2006/relationships/hyperlink" Target="https://www.westvirginia-demographics.com/jackson-county-demographics" TargetMode="External"/><Relationship Id="rId41" Type="http://schemas.openxmlformats.org/officeDocument/2006/relationships/hyperlink" Target="https://www.westvirginia-demographics.com/monroe-county-demographics" TargetMode="External"/><Relationship Id="rId54" Type="http://schemas.openxmlformats.org/officeDocument/2006/relationships/hyperlink" Target="https://www.westvirginia-demographics.com/tucker-county-demographics" TargetMode="External"/><Relationship Id="rId1" Type="http://schemas.openxmlformats.org/officeDocument/2006/relationships/hyperlink" Target="https://www.westvirginia-demographics.com/kanawha-county-demographics" TargetMode="External"/><Relationship Id="rId6" Type="http://schemas.openxmlformats.org/officeDocument/2006/relationships/hyperlink" Target="https://www.westvirginia-demographics.com/raleigh-county-demographics" TargetMode="External"/><Relationship Id="rId15" Type="http://schemas.openxmlformats.org/officeDocument/2006/relationships/hyperlink" Target="https://www.westvirginia-demographics.com/greenbrier-county-demographics" TargetMode="External"/><Relationship Id="rId23" Type="http://schemas.openxmlformats.org/officeDocument/2006/relationships/hyperlink" Target="https://www.westvirginia-demographics.com/mason-county-demographics" TargetMode="External"/><Relationship Id="rId28" Type="http://schemas.openxmlformats.org/officeDocument/2006/relationships/hyperlink" Target="https://www.westvirginia-demographics.com/brooke-county-demographics" TargetMode="External"/><Relationship Id="rId36" Type="http://schemas.openxmlformats.org/officeDocument/2006/relationships/hyperlink" Target="https://www.westvirginia-demographics.com/lewis-county-demographics" TargetMode="External"/><Relationship Id="rId49" Type="http://schemas.openxmlformats.org/officeDocument/2006/relationships/hyperlink" Target="https://www.westvirginia-demographics.com/webster-county-demographics" TargetMode="External"/><Relationship Id="rId57" Type="http://schemas.openxmlformats.org/officeDocument/2006/relationships/table" Target="../tables/table99.xml"/><Relationship Id="rId10" Type="http://schemas.openxmlformats.org/officeDocument/2006/relationships/hyperlink" Target="https://www.westvirginia-demographics.com/putnam-county-demographics" TargetMode="External"/><Relationship Id="rId31" Type="http://schemas.openxmlformats.org/officeDocument/2006/relationships/hyperlink" Target="https://www.westvirginia-demographics.com/lincoln-county-demographics" TargetMode="External"/><Relationship Id="rId44" Type="http://schemas.openxmlformats.org/officeDocument/2006/relationships/hyperlink" Target="https://www.westvirginia-demographics.com/ritchie-county-demographics" TargetMode="External"/><Relationship Id="rId52" Type="http://schemas.openxmlformats.org/officeDocument/2006/relationships/hyperlink" Target="https://www.westvirginia-demographics.com/calhoun-county-demographics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chigan-demographics.com/van-buren-county-demographics" TargetMode="External"/><Relationship Id="rId21" Type="http://schemas.openxmlformats.org/officeDocument/2006/relationships/hyperlink" Target="https://www.michigan-demographics.com/lenawee-county-demographics" TargetMode="External"/><Relationship Id="rId42" Type="http://schemas.openxmlformats.org/officeDocument/2006/relationships/hyperlink" Target="https://www.michigan-demographics.com/chippewa-county-demographics" TargetMode="External"/><Relationship Id="rId47" Type="http://schemas.openxmlformats.org/officeDocument/2006/relationships/hyperlink" Target="https://www.michigan-demographics.com/huron-county-demographics" TargetMode="External"/><Relationship Id="rId63" Type="http://schemas.openxmlformats.org/officeDocument/2006/relationships/hyperlink" Target="https://www.michigan-demographics.com/leelanau-county-demographics" TargetMode="External"/><Relationship Id="rId68" Type="http://schemas.openxmlformats.org/officeDocument/2006/relationships/hyperlink" Target="https://www.michigan-demographics.com/arenac-county-demographics" TargetMode="External"/><Relationship Id="rId84" Type="http://schemas.openxmlformats.org/officeDocument/2006/relationships/table" Target="../tables/table8.xml"/><Relationship Id="rId16" Type="http://schemas.openxmlformats.org/officeDocument/2006/relationships/hyperlink" Target="https://www.michigan-demographics.com/monroe-county-demographics" TargetMode="External"/><Relationship Id="rId11" Type="http://schemas.openxmlformats.org/officeDocument/2006/relationships/hyperlink" Target="https://www.michigan-demographics.com/livingston-county-demographics" TargetMode="External"/><Relationship Id="rId32" Type="http://schemas.openxmlformats.org/officeDocument/2006/relationships/hyperlink" Target="https://www.michigan-demographics.com/barry-county-demographics" TargetMode="External"/><Relationship Id="rId37" Type="http://schemas.openxmlformats.org/officeDocument/2006/relationships/hyperlink" Target="https://www.michigan-demographics.com/hillsdale-county-demographics" TargetMode="External"/><Relationship Id="rId53" Type="http://schemas.openxmlformats.org/officeDocument/2006/relationships/hyperlink" Target="https://www.michigan-demographics.com/cheboygan-county-demographics" TargetMode="External"/><Relationship Id="rId58" Type="http://schemas.openxmlformats.org/officeDocument/2006/relationships/hyperlink" Target="https://www.michigan-demographics.com/manistee-county-demographics" TargetMode="External"/><Relationship Id="rId74" Type="http://schemas.openxmlformats.org/officeDocument/2006/relationships/hyperlink" Target="https://www.michigan-demographics.com/mackinac-county-demographics" TargetMode="External"/><Relationship Id="rId79" Type="http://schemas.openxmlformats.org/officeDocument/2006/relationships/hyperlink" Target="https://www.michigan-demographics.com/oscoda-county-demographics" TargetMode="External"/><Relationship Id="rId5" Type="http://schemas.openxmlformats.org/officeDocument/2006/relationships/hyperlink" Target="https://www.michigan-demographics.com/genesee-county-demographics" TargetMode="External"/><Relationship Id="rId19" Type="http://schemas.openxmlformats.org/officeDocument/2006/relationships/hyperlink" Target="https://www.michigan-demographics.com/eaton-county-demographics" TargetMode="External"/><Relationship Id="rId14" Type="http://schemas.openxmlformats.org/officeDocument/2006/relationships/hyperlink" Target="https://www.michigan-demographics.com/jackson-county-demographics" TargetMode="External"/><Relationship Id="rId22" Type="http://schemas.openxmlformats.org/officeDocument/2006/relationships/hyperlink" Target="https://www.michigan-demographics.com/grand-traverse-county-demographics" TargetMode="External"/><Relationship Id="rId27" Type="http://schemas.openxmlformats.org/officeDocument/2006/relationships/hyperlink" Target="https://www.michigan-demographics.com/isabella-county-demographics" TargetMode="External"/><Relationship Id="rId30" Type="http://schemas.openxmlformats.org/officeDocument/2006/relationships/hyperlink" Target="https://www.michigan-demographics.com/ionia-county-demographics" TargetMode="External"/><Relationship Id="rId35" Type="http://schemas.openxmlformats.org/officeDocument/2006/relationships/hyperlink" Target="https://www.michigan-demographics.com/cass-county-demographics" TargetMode="External"/><Relationship Id="rId43" Type="http://schemas.openxmlformats.org/officeDocument/2006/relationships/hyperlink" Target="https://www.michigan-demographics.com/houghton-county-demographics" TargetMode="External"/><Relationship Id="rId48" Type="http://schemas.openxmlformats.org/officeDocument/2006/relationships/hyperlink" Target="https://www.michigan-demographics.com/clare-county-demographics" TargetMode="External"/><Relationship Id="rId56" Type="http://schemas.openxmlformats.org/officeDocument/2006/relationships/hyperlink" Target="https://www.michigan-demographics.com/iosco-county-demographics" TargetMode="External"/><Relationship Id="rId64" Type="http://schemas.openxmlformats.org/officeDocument/2006/relationships/hyperlink" Target="https://www.michigan-demographics.com/ogemaw-county-demographics" TargetMode="External"/><Relationship Id="rId69" Type="http://schemas.openxmlformats.org/officeDocument/2006/relationships/hyperlink" Target="https://www.michigan-demographics.com/gogebic-county-demographics" TargetMode="External"/><Relationship Id="rId77" Type="http://schemas.openxmlformats.org/officeDocument/2006/relationships/hyperlink" Target="https://www.michigan-demographics.com/alger-county-demographics" TargetMode="External"/><Relationship Id="rId8" Type="http://schemas.openxmlformats.org/officeDocument/2006/relationships/hyperlink" Target="https://www.michigan-demographics.com/ottawa-county-demographics" TargetMode="External"/><Relationship Id="rId51" Type="http://schemas.openxmlformats.org/officeDocument/2006/relationships/hyperlink" Target="https://www.michigan-demographics.com/oceana-county-demographics" TargetMode="External"/><Relationship Id="rId72" Type="http://schemas.openxmlformats.org/officeDocument/2006/relationships/hyperlink" Target="https://www.michigan-demographics.com/lake-county-demographics" TargetMode="External"/><Relationship Id="rId80" Type="http://schemas.openxmlformats.org/officeDocument/2006/relationships/hyperlink" Target="https://www.michigan-demographics.com/schoolcraft-county-demographics" TargetMode="External"/><Relationship Id="rId85" Type="http://schemas.openxmlformats.org/officeDocument/2006/relationships/table" Target="../tables/table9.xml"/><Relationship Id="rId3" Type="http://schemas.openxmlformats.org/officeDocument/2006/relationships/hyperlink" Target="https://www.michigan-demographics.com/macomb-county-demographics" TargetMode="External"/><Relationship Id="rId12" Type="http://schemas.openxmlformats.org/officeDocument/2006/relationships/hyperlink" Target="https://www.michigan-demographics.com/muskegon-county-demographics" TargetMode="External"/><Relationship Id="rId17" Type="http://schemas.openxmlformats.org/officeDocument/2006/relationships/hyperlink" Target="https://www.michigan-demographics.com/calhoun-county-demographics" TargetMode="External"/><Relationship Id="rId25" Type="http://schemas.openxmlformats.org/officeDocument/2006/relationships/hyperlink" Target="https://www.michigan-demographics.com/clinton-county-demographics" TargetMode="External"/><Relationship Id="rId33" Type="http://schemas.openxmlformats.org/officeDocument/2006/relationships/hyperlink" Target="https://www.michigan-demographics.com/st-joseph-county-demographics" TargetMode="External"/><Relationship Id="rId38" Type="http://schemas.openxmlformats.org/officeDocument/2006/relationships/hyperlink" Target="https://www.michigan-demographics.com/mecosta-county-demographics" TargetMode="External"/><Relationship Id="rId46" Type="http://schemas.openxmlformats.org/officeDocument/2006/relationships/hyperlink" Target="https://www.michigan-demographics.com/emmet-county-demographics" TargetMode="External"/><Relationship Id="rId59" Type="http://schemas.openxmlformats.org/officeDocument/2006/relationships/hyperlink" Target="https://www.michigan-demographics.com/roscommon-county-demographics" TargetMode="External"/><Relationship Id="rId67" Type="http://schemas.openxmlformats.org/officeDocument/2006/relationships/hyperlink" Target="https://www.michigan-demographics.com/missaukee-county-demographics" TargetMode="External"/><Relationship Id="rId20" Type="http://schemas.openxmlformats.org/officeDocument/2006/relationships/hyperlink" Target="https://www.michigan-demographics.com/bay-county-demographics" TargetMode="External"/><Relationship Id="rId41" Type="http://schemas.openxmlformats.org/officeDocument/2006/relationships/hyperlink" Target="https://www.michigan-demographics.com/gratiot-county-demographics" TargetMode="External"/><Relationship Id="rId54" Type="http://schemas.openxmlformats.org/officeDocument/2006/relationships/hyperlink" Target="https://www.michigan-demographics.com/dickinson-county-demographics" TargetMode="External"/><Relationship Id="rId62" Type="http://schemas.openxmlformats.org/officeDocument/2006/relationships/hyperlink" Target="https://www.michigan-demographics.com/menominee-county-demographics" TargetMode="External"/><Relationship Id="rId70" Type="http://schemas.openxmlformats.org/officeDocument/2006/relationships/hyperlink" Target="https://www.michigan-demographics.com/crawford-county-demographics" TargetMode="External"/><Relationship Id="rId75" Type="http://schemas.openxmlformats.org/officeDocument/2006/relationships/hyperlink" Target="https://www.michigan-demographics.com/alcona-county-demographics" TargetMode="External"/><Relationship Id="rId83" Type="http://schemas.openxmlformats.org/officeDocument/2006/relationships/hyperlink" Target="https://www.michigan-demographics.com/keweenaw-county-demographics" TargetMode="External"/><Relationship Id="rId1" Type="http://schemas.openxmlformats.org/officeDocument/2006/relationships/hyperlink" Target="https://www.michigan-demographics.com/wayne-county-demographics" TargetMode="External"/><Relationship Id="rId6" Type="http://schemas.openxmlformats.org/officeDocument/2006/relationships/hyperlink" Target="https://www.michigan-demographics.com/washtenaw-county-demographics" TargetMode="External"/><Relationship Id="rId15" Type="http://schemas.openxmlformats.org/officeDocument/2006/relationships/hyperlink" Target="https://www.michigan-demographics.com/berrien-county-demographics" TargetMode="External"/><Relationship Id="rId23" Type="http://schemas.openxmlformats.org/officeDocument/2006/relationships/hyperlink" Target="https://www.michigan-demographics.com/lapeer-county-demographics" TargetMode="External"/><Relationship Id="rId28" Type="http://schemas.openxmlformats.org/officeDocument/2006/relationships/hyperlink" Target="https://www.michigan-demographics.com/shiawassee-county-demographics" TargetMode="External"/><Relationship Id="rId36" Type="http://schemas.openxmlformats.org/officeDocument/2006/relationships/hyperlink" Target="https://www.michigan-demographics.com/newaygo-county-demographics" TargetMode="External"/><Relationship Id="rId49" Type="http://schemas.openxmlformats.org/officeDocument/2006/relationships/hyperlink" Target="https://www.michigan-demographics.com/mason-county-demographics" TargetMode="External"/><Relationship Id="rId57" Type="http://schemas.openxmlformats.org/officeDocument/2006/relationships/hyperlink" Target="https://www.michigan-demographics.com/otsego-county-demographics" TargetMode="External"/><Relationship Id="rId10" Type="http://schemas.openxmlformats.org/officeDocument/2006/relationships/hyperlink" Target="https://www.michigan-demographics.com/saginaw-county-demographics" TargetMode="External"/><Relationship Id="rId31" Type="http://schemas.openxmlformats.org/officeDocument/2006/relationships/hyperlink" Target="https://www.michigan-demographics.com/montcalm-county-demographics" TargetMode="External"/><Relationship Id="rId44" Type="http://schemas.openxmlformats.org/officeDocument/2006/relationships/hyperlink" Target="https://www.michigan-demographics.com/delta-county-demographics" TargetMode="External"/><Relationship Id="rId52" Type="http://schemas.openxmlformats.org/officeDocument/2006/relationships/hyperlink" Target="https://www.michigan-demographics.com/charlevoix-county-demographics" TargetMode="External"/><Relationship Id="rId60" Type="http://schemas.openxmlformats.org/officeDocument/2006/relationships/hyperlink" Target="https://www.michigan-demographics.com/osceola-county-demographics" TargetMode="External"/><Relationship Id="rId65" Type="http://schemas.openxmlformats.org/officeDocument/2006/relationships/hyperlink" Target="https://www.michigan-demographics.com/kalkaska-county-demographics" TargetMode="External"/><Relationship Id="rId73" Type="http://schemas.openxmlformats.org/officeDocument/2006/relationships/hyperlink" Target="https://www.michigan-demographics.com/iron-county-demographics" TargetMode="External"/><Relationship Id="rId78" Type="http://schemas.openxmlformats.org/officeDocument/2006/relationships/hyperlink" Target="https://www.michigan-demographics.com/baraga-county-demographics" TargetMode="External"/><Relationship Id="rId81" Type="http://schemas.openxmlformats.org/officeDocument/2006/relationships/hyperlink" Target="https://www.michigan-demographics.com/luce-county-demographics" TargetMode="External"/><Relationship Id="rId86" Type="http://schemas.openxmlformats.org/officeDocument/2006/relationships/table" Target="../tables/table10.xml"/><Relationship Id="rId4" Type="http://schemas.openxmlformats.org/officeDocument/2006/relationships/hyperlink" Target="https://www.michigan-demographics.com/kent-county-demographics" TargetMode="External"/><Relationship Id="rId9" Type="http://schemas.openxmlformats.org/officeDocument/2006/relationships/hyperlink" Target="https://www.michigan-demographics.com/kalamazoo-county-demographics" TargetMode="External"/><Relationship Id="rId13" Type="http://schemas.openxmlformats.org/officeDocument/2006/relationships/hyperlink" Target="https://www.michigan-demographics.com/st-clair-county-demographics" TargetMode="External"/><Relationship Id="rId18" Type="http://schemas.openxmlformats.org/officeDocument/2006/relationships/hyperlink" Target="https://www.michigan-demographics.com/allegan-county-demographics" TargetMode="External"/><Relationship Id="rId39" Type="http://schemas.openxmlformats.org/officeDocument/2006/relationships/hyperlink" Target="https://www.michigan-demographics.com/branch-county-demographics" TargetMode="External"/><Relationship Id="rId34" Type="http://schemas.openxmlformats.org/officeDocument/2006/relationships/hyperlink" Target="https://www.michigan-demographics.com/tuscola-county-demographics" TargetMode="External"/><Relationship Id="rId50" Type="http://schemas.openxmlformats.org/officeDocument/2006/relationships/hyperlink" Target="https://www.michigan-demographics.com/alpena-county-demographics" TargetMode="External"/><Relationship Id="rId55" Type="http://schemas.openxmlformats.org/officeDocument/2006/relationships/hyperlink" Target="https://www.michigan-demographics.com/gladwin-county-demographics" TargetMode="External"/><Relationship Id="rId76" Type="http://schemas.openxmlformats.org/officeDocument/2006/relationships/hyperlink" Target="https://www.michigan-demographics.com/montmorency-county-demographics" TargetMode="External"/><Relationship Id="rId7" Type="http://schemas.openxmlformats.org/officeDocument/2006/relationships/hyperlink" Target="https://www.michigan-demographics.com/ingham-county-demographics" TargetMode="External"/><Relationship Id="rId71" Type="http://schemas.openxmlformats.org/officeDocument/2006/relationships/hyperlink" Target="https://www.michigan-demographics.com/presque-isle-county-demographics" TargetMode="External"/><Relationship Id="rId2" Type="http://schemas.openxmlformats.org/officeDocument/2006/relationships/hyperlink" Target="https://www.michigan-demographics.com/oakland-county-demographics" TargetMode="External"/><Relationship Id="rId29" Type="http://schemas.openxmlformats.org/officeDocument/2006/relationships/hyperlink" Target="https://www.michigan-demographics.com/marquette-county-demographics" TargetMode="External"/><Relationship Id="rId24" Type="http://schemas.openxmlformats.org/officeDocument/2006/relationships/hyperlink" Target="https://www.michigan-demographics.com/midland-county-demographics" TargetMode="External"/><Relationship Id="rId40" Type="http://schemas.openxmlformats.org/officeDocument/2006/relationships/hyperlink" Target="https://www.michigan-demographics.com/sanilac-county-demographics" TargetMode="External"/><Relationship Id="rId45" Type="http://schemas.openxmlformats.org/officeDocument/2006/relationships/hyperlink" Target="https://www.michigan-demographics.com/wexford-county-demographics" TargetMode="External"/><Relationship Id="rId66" Type="http://schemas.openxmlformats.org/officeDocument/2006/relationships/hyperlink" Target="https://www.michigan-demographics.com/benzie-county-demographics" TargetMode="External"/><Relationship Id="rId61" Type="http://schemas.openxmlformats.org/officeDocument/2006/relationships/hyperlink" Target="https://www.michigan-demographics.com/antrim-county-demographics" TargetMode="External"/><Relationship Id="rId82" Type="http://schemas.openxmlformats.org/officeDocument/2006/relationships/hyperlink" Target="https://www.michigan-demographics.com/ontonagon-county-demographics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nnesota-demographics.com/mower-county-demographics" TargetMode="External"/><Relationship Id="rId21" Type="http://schemas.openxmlformats.org/officeDocument/2006/relationships/hyperlink" Target="https://www.minnesota-demographics.com/goodhue-county-demographics" TargetMode="External"/><Relationship Id="rId42" Type="http://schemas.openxmlformats.org/officeDocument/2006/relationships/hyperlink" Target="https://www.minnesota-demographics.com/todd-county-demographics" TargetMode="External"/><Relationship Id="rId47" Type="http://schemas.openxmlformats.org/officeDocument/2006/relationships/hyperlink" Target="https://www.minnesota-demographics.com/fillmore-county-demographics" TargetMode="External"/><Relationship Id="rId63" Type="http://schemas.openxmlformats.org/officeDocument/2006/relationships/hyperlink" Target="https://www.minnesota-demographics.com/cottonwood-county-demographics" TargetMode="External"/><Relationship Id="rId68" Type="http://schemas.openxmlformats.org/officeDocument/2006/relationships/hyperlink" Target="https://www.minnesota-demographics.com/yellow-medicine-county-demographics" TargetMode="External"/><Relationship Id="rId84" Type="http://schemas.openxmlformats.org/officeDocument/2006/relationships/hyperlink" Target="https://www.minnesota-demographics.com/kittson-county-demographics" TargetMode="External"/><Relationship Id="rId89" Type="http://schemas.openxmlformats.org/officeDocument/2006/relationships/table" Target="../tables/table12.xml"/><Relationship Id="rId16" Type="http://schemas.openxmlformats.org/officeDocument/2006/relationships/hyperlink" Target="https://www.minnesota-demographics.com/clay-county-demographics" TargetMode="External"/><Relationship Id="rId11" Type="http://schemas.openxmlformats.org/officeDocument/2006/relationships/hyperlink" Target="https://www.minnesota-demographics.com/carver-county-demographics" TargetMode="External"/><Relationship Id="rId32" Type="http://schemas.openxmlformats.org/officeDocument/2006/relationships/hyperlink" Target="https://www.minnesota-demographics.com/nicollet-county-demographics" TargetMode="External"/><Relationship Id="rId37" Type="http://schemas.openxmlformats.org/officeDocument/2006/relationships/hyperlink" Target="https://www.minnesota-demographics.com/pine-county-demographics" TargetMode="External"/><Relationship Id="rId53" Type="http://schemas.openxmlformats.org/officeDocument/2006/relationships/hyperlink" Target="https://www.minnesota-demographics.com/aitkin-county-demographics" TargetMode="External"/><Relationship Id="rId58" Type="http://schemas.openxmlformats.org/officeDocument/2006/relationships/hyperlink" Target="https://www.minnesota-demographics.com/pennington-county-demographics" TargetMode="External"/><Relationship Id="rId74" Type="http://schemas.openxmlformats.org/officeDocument/2006/relationships/hyperlink" Target="https://www.minnesota-demographics.com/clearwater-county-demographics" TargetMode="External"/><Relationship Id="rId79" Type="http://schemas.openxmlformats.org/officeDocument/2006/relationships/hyperlink" Target="https://www.minnesota-demographics.com/grant-county-demographics" TargetMode="External"/><Relationship Id="rId5" Type="http://schemas.openxmlformats.org/officeDocument/2006/relationships/hyperlink" Target="https://www.minnesota-demographics.com/washington-county-demographics" TargetMode="External"/><Relationship Id="rId90" Type="http://schemas.openxmlformats.org/officeDocument/2006/relationships/table" Target="../tables/table13.xml"/><Relationship Id="rId14" Type="http://schemas.openxmlformats.org/officeDocument/2006/relationships/hyperlink" Target="https://www.minnesota-demographics.com/rice-county-demographics" TargetMode="External"/><Relationship Id="rId22" Type="http://schemas.openxmlformats.org/officeDocument/2006/relationships/hyperlink" Target="https://www.minnesota-demographics.com/itasca-county-demographics" TargetMode="External"/><Relationship Id="rId27" Type="http://schemas.openxmlformats.org/officeDocument/2006/relationships/hyperlink" Target="https://www.minnesota-demographics.com/douglas-county-demographics" TargetMode="External"/><Relationship Id="rId30" Type="http://schemas.openxmlformats.org/officeDocument/2006/relationships/hyperlink" Target="https://www.minnesota-demographics.com/carlton-county-demographics" TargetMode="External"/><Relationship Id="rId35" Type="http://schemas.openxmlformats.org/officeDocument/2006/relationships/hyperlink" Target="https://www.minnesota-demographics.com/freeborn-county-demographics" TargetMode="External"/><Relationship Id="rId43" Type="http://schemas.openxmlformats.org/officeDocument/2006/relationships/hyperlink" Target="https://www.minnesota-demographics.com/meeker-county-demographics" TargetMode="External"/><Relationship Id="rId48" Type="http://schemas.openxmlformats.org/officeDocument/2006/relationships/hyperlink" Target="https://www.minnesota-demographics.com/dodge-county-demographics" TargetMode="External"/><Relationship Id="rId56" Type="http://schemas.openxmlformats.org/officeDocument/2006/relationships/hyperlink" Target="https://www.minnesota-demographics.com/sibley-county-demographics" TargetMode="External"/><Relationship Id="rId64" Type="http://schemas.openxmlformats.org/officeDocument/2006/relationships/hyperlink" Target="https://www.minnesota-demographics.com/pope-county-demographics" TargetMode="External"/><Relationship Id="rId69" Type="http://schemas.openxmlformats.org/officeDocument/2006/relationships/hyperlink" Target="https://www.minnesota-demographics.com/stevens-county-demographics" TargetMode="External"/><Relationship Id="rId77" Type="http://schemas.openxmlformats.org/officeDocument/2006/relationships/hyperlink" Target="https://www.minnesota-demographics.com/norman-county-demographics" TargetMode="External"/><Relationship Id="rId8" Type="http://schemas.openxmlformats.org/officeDocument/2006/relationships/hyperlink" Target="https://www.minnesota-demographics.com/olmsted-county-demographics" TargetMode="External"/><Relationship Id="rId51" Type="http://schemas.openxmlformats.org/officeDocument/2006/relationships/hyperlink" Target="https://www.minnesota-demographics.com/waseca-county-demographics" TargetMode="External"/><Relationship Id="rId72" Type="http://schemas.openxmlformats.org/officeDocument/2006/relationships/hyperlink" Target="https://www.minnesota-demographics.com/swift-county-demographics" TargetMode="External"/><Relationship Id="rId80" Type="http://schemas.openxmlformats.org/officeDocument/2006/relationships/hyperlink" Target="https://www.minnesota-demographics.com/lincoln-county-demographics" TargetMode="External"/><Relationship Id="rId85" Type="http://schemas.openxmlformats.org/officeDocument/2006/relationships/hyperlink" Target="https://www.minnesota-demographics.com/red-lake-county-demographics" TargetMode="External"/><Relationship Id="rId3" Type="http://schemas.openxmlformats.org/officeDocument/2006/relationships/hyperlink" Target="https://www.minnesota-demographics.com/dakota-county-demographics" TargetMode="External"/><Relationship Id="rId12" Type="http://schemas.openxmlformats.org/officeDocument/2006/relationships/hyperlink" Target="https://www.minnesota-demographics.com/sherburne-county-demographics" TargetMode="External"/><Relationship Id="rId17" Type="http://schemas.openxmlformats.org/officeDocument/2006/relationships/hyperlink" Target="https://www.minnesota-demographics.com/otter-tail-county-demographics" TargetMode="External"/><Relationship Id="rId25" Type="http://schemas.openxmlformats.org/officeDocument/2006/relationships/hyperlink" Target="https://www.minnesota-demographics.com/isanti-county-demographics" TargetMode="External"/><Relationship Id="rId33" Type="http://schemas.openxmlformats.org/officeDocument/2006/relationships/hyperlink" Target="https://www.minnesota-demographics.com/morrison-county-demographics" TargetMode="External"/><Relationship Id="rId38" Type="http://schemas.openxmlformats.org/officeDocument/2006/relationships/hyperlink" Target="https://www.minnesota-demographics.com/le-sueur-county-demographics" TargetMode="External"/><Relationship Id="rId46" Type="http://schemas.openxmlformats.org/officeDocument/2006/relationships/hyperlink" Target="https://www.minnesota-demographics.com/hubbard-county-demographics" TargetMode="External"/><Relationship Id="rId59" Type="http://schemas.openxmlformats.org/officeDocument/2006/relationships/hyperlink" Target="https://www.minnesota-demographics.com/faribault-county-demographics" TargetMode="External"/><Relationship Id="rId67" Type="http://schemas.openxmlformats.org/officeDocument/2006/relationships/hyperlink" Target="https://www.minnesota-demographics.com/jackson-county-demographics" TargetMode="External"/><Relationship Id="rId20" Type="http://schemas.openxmlformats.org/officeDocument/2006/relationships/hyperlink" Target="https://www.minnesota-demographics.com/beltrami-county-demographics" TargetMode="External"/><Relationship Id="rId41" Type="http://schemas.openxmlformats.org/officeDocument/2006/relationships/hyperlink" Target="https://www.minnesota-demographics.com/brown-county-demographics" TargetMode="External"/><Relationship Id="rId54" Type="http://schemas.openxmlformats.org/officeDocument/2006/relationships/hyperlink" Target="https://www.minnesota-demographics.com/roseau-county-demographics" TargetMode="External"/><Relationship Id="rId62" Type="http://schemas.openxmlformats.org/officeDocument/2006/relationships/hyperlink" Target="https://www.minnesota-demographics.com/chippewa-county-demographics" TargetMode="External"/><Relationship Id="rId70" Type="http://schemas.openxmlformats.org/officeDocument/2006/relationships/hyperlink" Target="https://www.minnesota-demographics.com/rock-county-demographics" TargetMode="External"/><Relationship Id="rId75" Type="http://schemas.openxmlformats.org/officeDocument/2006/relationships/hyperlink" Target="https://www.minnesota-demographics.com/murray-county-demographics" TargetMode="External"/><Relationship Id="rId83" Type="http://schemas.openxmlformats.org/officeDocument/2006/relationships/hyperlink" Target="https://www.minnesota-demographics.com/big-stone-county-demographics" TargetMode="External"/><Relationship Id="rId88" Type="http://schemas.openxmlformats.org/officeDocument/2006/relationships/table" Target="../tables/table11.xml"/><Relationship Id="rId1" Type="http://schemas.openxmlformats.org/officeDocument/2006/relationships/hyperlink" Target="https://www.minnesota-demographics.com/hennepin-county-demographics" TargetMode="External"/><Relationship Id="rId6" Type="http://schemas.openxmlformats.org/officeDocument/2006/relationships/hyperlink" Target="https://www.minnesota-demographics.com/st-louis-county-demographics" TargetMode="External"/><Relationship Id="rId15" Type="http://schemas.openxmlformats.org/officeDocument/2006/relationships/hyperlink" Target="https://www.minnesota-demographics.com/crow-wing-county-demographics" TargetMode="External"/><Relationship Id="rId23" Type="http://schemas.openxmlformats.org/officeDocument/2006/relationships/hyperlink" Target="https://www.minnesota-demographics.com/kandiyohi-county-demographics" TargetMode="External"/><Relationship Id="rId28" Type="http://schemas.openxmlformats.org/officeDocument/2006/relationships/hyperlink" Target="https://www.minnesota-demographics.com/steele-county-demographics" TargetMode="External"/><Relationship Id="rId36" Type="http://schemas.openxmlformats.org/officeDocument/2006/relationships/hyperlink" Target="https://www.minnesota-demographics.com/cass-county-demographics" TargetMode="External"/><Relationship Id="rId49" Type="http://schemas.openxmlformats.org/officeDocument/2006/relationships/hyperlink" Target="https://www.minnesota-demographics.com/martin-county-demographics" TargetMode="External"/><Relationship Id="rId57" Type="http://schemas.openxmlformats.org/officeDocument/2006/relationships/hyperlink" Target="https://www.minnesota-demographics.com/renville-county-demographics" TargetMode="External"/><Relationship Id="rId10" Type="http://schemas.openxmlformats.org/officeDocument/2006/relationships/hyperlink" Target="https://www.minnesota-demographics.com/wright-county-demographics" TargetMode="External"/><Relationship Id="rId31" Type="http://schemas.openxmlformats.org/officeDocument/2006/relationships/hyperlink" Target="https://www.minnesota-demographics.com/becker-county-demographics" TargetMode="External"/><Relationship Id="rId44" Type="http://schemas.openxmlformats.org/officeDocument/2006/relationships/hyperlink" Target="https://www.minnesota-demographics.com/nobles-county-demographics" TargetMode="External"/><Relationship Id="rId52" Type="http://schemas.openxmlformats.org/officeDocument/2006/relationships/hyperlink" Target="https://www.minnesota-demographics.com/kanabec-county-demographics" TargetMode="External"/><Relationship Id="rId60" Type="http://schemas.openxmlformats.org/officeDocument/2006/relationships/hyperlink" Target="https://www.minnesota-demographics.com/wadena-county-demographics" TargetMode="External"/><Relationship Id="rId65" Type="http://schemas.openxmlformats.org/officeDocument/2006/relationships/hyperlink" Target="https://www.minnesota-demographics.com/watonwan-county-demographics" TargetMode="External"/><Relationship Id="rId73" Type="http://schemas.openxmlformats.org/officeDocument/2006/relationships/hyperlink" Target="https://www.minnesota-demographics.com/pipestone-county-demographics" TargetMode="External"/><Relationship Id="rId78" Type="http://schemas.openxmlformats.org/officeDocument/2006/relationships/hyperlink" Target="https://www.minnesota-demographics.com/wilkin-county-demographics" TargetMode="External"/><Relationship Id="rId81" Type="http://schemas.openxmlformats.org/officeDocument/2006/relationships/hyperlink" Target="https://www.minnesota-demographics.com/mahnomen-county-demographics" TargetMode="External"/><Relationship Id="rId86" Type="http://schemas.openxmlformats.org/officeDocument/2006/relationships/hyperlink" Target="https://www.minnesota-demographics.com/lake-of-the-woods-county-demographics" TargetMode="External"/><Relationship Id="rId4" Type="http://schemas.openxmlformats.org/officeDocument/2006/relationships/hyperlink" Target="https://www.minnesota-demographics.com/anoka-county-demographics" TargetMode="External"/><Relationship Id="rId9" Type="http://schemas.openxmlformats.org/officeDocument/2006/relationships/hyperlink" Target="https://www.minnesota-demographics.com/scott-county-demographics" TargetMode="External"/><Relationship Id="rId13" Type="http://schemas.openxmlformats.org/officeDocument/2006/relationships/hyperlink" Target="https://www.minnesota-demographics.com/blue-earth-county-demographics" TargetMode="External"/><Relationship Id="rId18" Type="http://schemas.openxmlformats.org/officeDocument/2006/relationships/hyperlink" Target="https://www.minnesota-demographics.com/chisago-county-demographics" TargetMode="External"/><Relationship Id="rId39" Type="http://schemas.openxmlformats.org/officeDocument/2006/relationships/hyperlink" Target="https://www.minnesota-demographics.com/mille-lacs-county-demographics" TargetMode="External"/><Relationship Id="rId34" Type="http://schemas.openxmlformats.org/officeDocument/2006/relationships/hyperlink" Target="https://www.minnesota-demographics.com/polk-county-demographics" TargetMode="External"/><Relationship Id="rId50" Type="http://schemas.openxmlformats.org/officeDocument/2006/relationships/hyperlink" Target="https://www.minnesota-demographics.com/houston-county-demographics" TargetMode="External"/><Relationship Id="rId55" Type="http://schemas.openxmlformats.org/officeDocument/2006/relationships/hyperlink" Target="https://www.minnesota-demographics.com/redwood-county-demographics" TargetMode="External"/><Relationship Id="rId76" Type="http://schemas.openxmlformats.org/officeDocument/2006/relationships/hyperlink" Target="https://www.minnesota-demographics.com/lac-qui-parle-county-demographics" TargetMode="External"/><Relationship Id="rId7" Type="http://schemas.openxmlformats.org/officeDocument/2006/relationships/hyperlink" Target="https://www.minnesota-demographics.com/stearns-county-demographics" TargetMode="External"/><Relationship Id="rId71" Type="http://schemas.openxmlformats.org/officeDocument/2006/relationships/hyperlink" Target="https://www.minnesota-demographics.com/marshall-county-demographics" TargetMode="External"/><Relationship Id="rId2" Type="http://schemas.openxmlformats.org/officeDocument/2006/relationships/hyperlink" Target="https://www.minnesota-demographics.com/ramsey-county-demographics" TargetMode="External"/><Relationship Id="rId29" Type="http://schemas.openxmlformats.org/officeDocument/2006/relationships/hyperlink" Target="https://www.minnesota-demographics.com/mcleod-county-demographics" TargetMode="External"/><Relationship Id="rId24" Type="http://schemas.openxmlformats.org/officeDocument/2006/relationships/hyperlink" Target="https://www.minnesota-demographics.com/benton-county-demographics" TargetMode="External"/><Relationship Id="rId40" Type="http://schemas.openxmlformats.org/officeDocument/2006/relationships/hyperlink" Target="https://www.minnesota-demographics.com/lyon-county-demographics" TargetMode="External"/><Relationship Id="rId45" Type="http://schemas.openxmlformats.org/officeDocument/2006/relationships/hyperlink" Target="https://www.minnesota-demographics.com/wabasha-county-demographics" TargetMode="External"/><Relationship Id="rId66" Type="http://schemas.openxmlformats.org/officeDocument/2006/relationships/hyperlink" Target="https://www.minnesota-demographics.com/lake-county-demographics" TargetMode="External"/><Relationship Id="rId87" Type="http://schemas.openxmlformats.org/officeDocument/2006/relationships/hyperlink" Target="https://www.minnesota-demographics.com/traverse-county-demographics" TargetMode="External"/><Relationship Id="rId61" Type="http://schemas.openxmlformats.org/officeDocument/2006/relationships/hyperlink" Target="https://www.minnesota-demographics.com/koochiching-county-demographics" TargetMode="External"/><Relationship Id="rId82" Type="http://schemas.openxmlformats.org/officeDocument/2006/relationships/hyperlink" Target="https://www.minnesota-demographics.com/cook-county-demographics" TargetMode="External"/><Relationship Id="rId19" Type="http://schemas.openxmlformats.org/officeDocument/2006/relationships/hyperlink" Target="https://www.minnesota-demographics.com/winona-county-demographics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ssissippi-demographics.com/bolivar-county-demographics" TargetMode="External"/><Relationship Id="rId21" Type="http://schemas.openxmlformats.org/officeDocument/2006/relationships/hyperlink" Target="https://www.mississippi-demographics.com/monroe-county-demographics" TargetMode="External"/><Relationship Id="rId42" Type="http://schemas.openxmlformats.org/officeDocument/2006/relationships/hyperlink" Target="https://www.mississippi-demographics.com/coahoma-county-demographics" TargetMode="External"/><Relationship Id="rId47" Type="http://schemas.openxmlformats.org/officeDocument/2006/relationships/hyperlink" Target="https://www.mississippi-demographics.com/clay-county-demographics" TargetMode="External"/><Relationship Id="rId63" Type="http://schemas.openxmlformats.org/officeDocument/2006/relationships/hyperlink" Target="https://www.mississippi-demographics.com/amite-county-demographics" TargetMode="External"/><Relationship Id="rId68" Type="http://schemas.openxmlformats.org/officeDocument/2006/relationships/hyperlink" Target="https://www.mississippi-demographics.com/carroll-county-demographics" TargetMode="External"/><Relationship Id="rId84" Type="http://schemas.openxmlformats.org/officeDocument/2006/relationships/table" Target="../tables/table15.xml"/><Relationship Id="rId16" Type="http://schemas.openxmlformats.org/officeDocument/2006/relationships/hyperlink" Target="https://www.mississippi-demographics.com/hancock-county-demographics" TargetMode="External"/><Relationship Id="rId11" Type="http://schemas.openxmlformats.org/officeDocument/2006/relationships/hyperlink" Target="https://www.mississippi-demographics.com/lamar-county-demographics" TargetMode="External"/><Relationship Id="rId32" Type="http://schemas.openxmlformats.org/officeDocument/2006/relationships/hyperlink" Target="https://www.mississippi-demographics.com/tate-county-demographics" TargetMode="External"/><Relationship Id="rId37" Type="http://schemas.openxmlformats.org/officeDocument/2006/relationships/hyperlink" Target="https://www.mississippi-demographics.com/prentiss-county-demographics" TargetMode="External"/><Relationship Id="rId53" Type="http://schemas.openxmlformats.org/officeDocument/2006/relationships/hyperlink" Target="https://www.mississippi-demographics.com/holmes-county-demographics" TargetMode="External"/><Relationship Id="rId58" Type="http://schemas.openxmlformats.org/officeDocument/2006/relationships/hyperlink" Target="https://www.mississippi-demographics.com/walthall-county-demographics" TargetMode="External"/><Relationship Id="rId74" Type="http://schemas.openxmlformats.org/officeDocument/2006/relationships/hyperlink" Target="https://www.mississippi-demographics.com/wilkinson-county-demographics" TargetMode="External"/><Relationship Id="rId79" Type="http://schemas.openxmlformats.org/officeDocument/2006/relationships/hyperlink" Target="https://www.mississippi-demographics.com/jefferson-county-demographics" TargetMode="External"/><Relationship Id="rId5" Type="http://schemas.openxmlformats.org/officeDocument/2006/relationships/hyperlink" Target="https://www.mississippi-demographics.com/jackson-county-demographics" TargetMode="External"/><Relationship Id="rId19" Type="http://schemas.openxmlformats.org/officeDocument/2006/relationships/hyperlink" Target="https://www.mississippi-demographics.com/pike-county-demographics" TargetMode="External"/><Relationship Id="rId14" Type="http://schemas.openxmlformats.org/officeDocument/2006/relationships/hyperlink" Target="https://www.mississippi-demographics.com/lafayette-county-demographics" TargetMode="External"/><Relationship Id="rId22" Type="http://schemas.openxmlformats.org/officeDocument/2006/relationships/hyperlink" Target="https://www.mississippi-demographics.com/marshall-county-demographics" TargetMode="External"/><Relationship Id="rId27" Type="http://schemas.openxmlformats.org/officeDocument/2006/relationships/hyperlink" Target="https://www.mississippi-demographics.com/adams-county-demographics" TargetMode="External"/><Relationship Id="rId30" Type="http://schemas.openxmlformats.org/officeDocument/2006/relationships/hyperlink" Target="https://www.mississippi-demographics.com/union-county-demographics" TargetMode="External"/><Relationship Id="rId35" Type="http://schemas.openxmlformats.org/officeDocument/2006/relationships/hyperlink" Target="https://www.mississippi-demographics.com/simpson-county-demographics" TargetMode="External"/><Relationship Id="rId43" Type="http://schemas.openxmlformats.org/officeDocument/2006/relationships/hyperlink" Target="https://www.mississippi-demographics.com/tippah-county-demographics" TargetMode="External"/><Relationship Id="rId48" Type="http://schemas.openxmlformats.org/officeDocument/2006/relationships/hyperlink" Target="https://www.mississippi-demographics.com/tishomingo-county-demographics" TargetMode="External"/><Relationship Id="rId56" Type="http://schemas.openxmlformats.org/officeDocument/2006/relationships/hyperlink" Target="https://www.mississippi-demographics.com/smith-county-demographics" TargetMode="External"/><Relationship Id="rId64" Type="http://schemas.openxmlformats.org/officeDocument/2006/relationships/hyperlink" Target="https://www.mississippi-demographics.com/yalobusha-county-demographics" TargetMode="External"/><Relationship Id="rId69" Type="http://schemas.openxmlformats.org/officeDocument/2006/relationships/hyperlink" Target="https://www.mississippi-demographics.com/montgomery-county-demographics" TargetMode="External"/><Relationship Id="rId77" Type="http://schemas.openxmlformats.org/officeDocument/2006/relationships/hyperlink" Target="https://www.mississippi-demographics.com/humphreys-county-demographics" TargetMode="External"/><Relationship Id="rId8" Type="http://schemas.openxmlformats.org/officeDocument/2006/relationships/hyperlink" Target="https://www.mississippi-demographics.com/lauderdale-county-demographics" TargetMode="External"/><Relationship Id="rId51" Type="http://schemas.openxmlformats.org/officeDocument/2006/relationships/hyperlink" Target="https://www.mississippi-demographics.com/stone-county-demographics" TargetMode="External"/><Relationship Id="rId72" Type="http://schemas.openxmlformats.org/officeDocument/2006/relationships/hyperlink" Target="https://www.mississippi-demographics.com/webster-county-demographics" TargetMode="External"/><Relationship Id="rId80" Type="http://schemas.openxmlformats.org/officeDocument/2006/relationships/hyperlink" Target="https://www.mississippi-demographics.com/quitman-county-demographics" TargetMode="External"/><Relationship Id="rId85" Type="http://schemas.openxmlformats.org/officeDocument/2006/relationships/table" Target="../tables/table16.xml"/><Relationship Id="rId3" Type="http://schemas.openxmlformats.org/officeDocument/2006/relationships/hyperlink" Target="https://www.mississippi-demographics.com/desoto-county-demographics" TargetMode="External"/><Relationship Id="rId12" Type="http://schemas.openxmlformats.org/officeDocument/2006/relationships/hyperlink" Target="https://www.mississippi-demographics.com/lowndes-county-demographics" TargetMode="External"/><Relationship Id="rId17" Type="http://schemas.openxmlformats.org/officeDocument/2006/relationships/hyperlink" Target="https://www.mississippi-demographics.com/warren-county-demographics" TargetMode="External"/><Relationship Id="rId25" Type="http://schemas.openxmlformats.org/officeDocument/2006/relationships/hyperlink" Target="https://www.mississippi-demographics.com/pontotoc-county-demographics" TargetMode="External"/><Relationship Id="rId33" Type="http://schemas.openxmlformats.org/officeDocument/2006/relationships/hyperlink" Target="https://www.mississippi-demographics.com/copiah-county-demographics" TargetMode="External"/><Relationship Id="rId38" Type="http://schemas.openxmlformats.org/officeDocument/2006/relationships/hyperlink" Target="https://www.mississippi-demographics.com/marion-county-demographics" TargetMode="External"/><Relationship Id="rId46" Type="http://schemas.openxmlformats.org/officeDocument/2006/relationships/hyperlink" Target="https://www.mississippi-demographics.com/wayne-county-demographics" TargetMode="External"/><Relationship Id="rId59" Type="http://schemas.openxmlformats.org/officeDocument/2006/relationships/hyperlink" Target="https://www.mississippi-demographics.com/calhoun-county-demographics" TargetMode="External"/><Relationship Id="rId67" Type="http://schemas.openxmlformats.org/officeDocument/2006/relationships/hyperlink" Target="https://www.mississippi-demographics.com/noxubee-county-demographics" TargetMode="External"/><Relationship Id="rId20" Type="http://schemas.openxmlformats.org/officeDocument/2006/relationships/hyperlink" Target="https://www.mississippi-demographics.com/alcorn-county-demographics" TargetMode="External"/><Relationship Id="rId41" Type="http://schemas.openxmlformats.org/officeDocument/2006/relationships/hyperlink" Target="https://www.mississippi-demographics.com/leake-county-demographics" TargetMode="External"/><Relationship Id="rId54" Type="http://schemas.openxmlformats.org/officeDocument/2006/relationships/hyperlink" Target="https://www.mississippi-demographics.com/chickasaw-county-demographics" TargetMode="External"/><Relationship Id="rId62" Type="http://schemas.openxmlformats.org/officeDocument/2006/relationships/hyperlink" Target="https://www.mississippi-demographics.com/lawrence-county-demographics" TargetMode="External"/><Relationship Id="rId70" Type="http://schemas.openxmlformats.org/officeDocument/2006/relationships/hyperlink" Target="https://www.mississippi-demographics.com/kemper-county-demographics" TargetMode="External"/><Relationship Id="rId75" Type="http://schemas.openxmlformats.org/officeDocument/2006/relationships/hyperlink" Target="https://www.mississippi-demographics.com/benton-county-demographics" TargetMode="External"/><Relationship Id="rId83" Type="http://schemas.openxmlformats.org/officeDocument/2006/relationships/table" Target="../tables/table14.xml"/><Relationship Id="rId1" Type="http://schemas.openxmlformats.org/officeDocument/2006/relationships/hyperlink" Target="https://www.mississippi-demographics.com/hinds-county-demographics" TargetMode="External"/><Relationship Id="rId6" Type="http://schemas.openxmlformats.org/officeDocument/2006/relationships/hyperlink" Target="https://www.mississippi-demographics.com/madison-county-demographics" TargetMode="External"/><Relationship Id="rId15" Type="http://schemas.openxmlformats.org/officeDocument/2006/relationships/hyperlink" Target="https://www.mississippi-demographics.com/oktibbeha-county-demographics" TargetMode="External"/><Relationship Id="rId23" Type="http://schemas.openxmlformats.org/officeDocument/2006/relationships/hyperlink" Target="https://www.mississippi-demographics.com/lincoln-county-demographics" TargetMode="External"/><Relationship Id="rId28" Type="http://schemas.openxmlformats.org/officeDocument/2006/relationships/hyperlink" Target="https://www.mississippi-demographics.com/neshoba-county-demographics" TargetMode="External"/><Relationship Id="rId36" Type="http://schemas.openxmlformats.org/officeDocument/2006/relationships/hyperlink" Target="https://www.mississippi-demographics.com/sunflower-county-demographics" TargetMode="External"/><Relationship Id="rId49" Type="http://schemas.openxmlformats.org/officeDocument/2006/relationships/hyperlink" Target="https://www.mississippi-demographics.com/covington-county-demographics" TargetMode="External"/><Relationship Id="rId57" Type="http://schemas.openxmlformats.org/officeDocument/2006/relationships/hyperlink" Target="https://www.mississippi-demographics.com/clarke-county-demographics" TargetMode="External"/><Relationship Id="rId10" Type="http://schemas.openxmlformats.org/officeDocument/2006/relationships/hyperlink" Target="https://www.mississippi-demographics.com/jones-county-demographics" TargetMode="External"/><Relationship Id="rId31" Type="http://schemas.openxmlformats.org/officeDocument/2006/relationships/hyperlink" Target="https://www.mississippi-demographics.com/yazoo-county-demographics" TargetMode="External"/><Relationship Id="rId44" Type="http://schemas.openxmlformats.org/officeDocument/2006/relationships/hyperlink" Target="https://www.mississippi-demographics.com/newton-county-demographics" TargetMode="External"/><Relationship Id="rId52" Type="http://schemas.openxmlformats.org/officeDocument/2006/relationships/hyperlink" Target="https://www.mississippi-demographics.com/winston-county-demographics" TargetMode="External"/><Relationship Id="rId60" Type="http://schemas.openxmlformats.org/officeDocument/2006/relationships/hyperlink" Target="https://www.mississippi-demographics.com/tallahatchie-county-demographics" TargetMode="External"/><Relationship Id="rId65" Type="http://schemas.openxmlformats.org/officeDocument/2006/relationships/hyperlink" Target="https://www.mississippi-demographics.com/perry-county-demographics" TargetMode="External"/><Relationship Id="rId73" Type="http://schemas.openxmlformats.org/officeDocument/2006/relationships/hyperlink" Target="https://www.mississippi-demographics.com/claiborne-county-demographics" TargetMode="External"/><Relationship Id="rId78" Type="http://schemas.openxmlformats.org/officeDocument/2006/relationships/hyperlink" Target="https://www.mississippi-demographics.com/franklin-county-demographics" TargetMode="External"/><Relationship Id="rId81" Type="http://schemas.openxmlformats.org/officeDocument/2006/relationships/hyperlink" Target="https://www.mississippi-demographics.com/sharkey-county-demographics" TargetMode="External"/><Relationship Id="rId4" Type="http://schemas.openxmlformats.org/officeDocument/2006/relationships/hyperlink" Target="https://www.mississippi-demographics.com/rankin-county-demographics" TargetMode="External"/><Relationship Id="rId9" Type="http://schemas.openxmlformats.org/officeDocument/2006/relationships/hyperlink" Target="https://www.mississippi-demographics.com/forrest-county-demographics" TargetMode="External"/><Relationship Id="rId13" Type="http://schemas.openxmlformats.org/officeDocument/2006/relationships/hyperlink" Target="https://www.mississippi-demographics.com/pearl-river-county-demographics" TargetMode="External"/><Relationship Id="rId18" Type="http://schemas.openxmlformats.org/officeDocument/2006/relationships/hyperlink" Target="https://www.mississippi-demographics.com/washington-county-demographics" TargetMode="External"/><Relationship Id="rId39" Type="http://schemas.openxmlformats.org/officeDocument/2006/relationships/hyperlink" Target="https://www.mississippi-demographics.com/george-county-demographics" TargetMode="External"/><Relationship Id="rId34" Type="http://schemas.openxmlformats.org/officeDocument/2006/relationships/hyperlink" Target="https://www.mississippi-demographics.com/scott-county-demographics" TargetMode="External"/><Relationship Id="rId50" Type="http://schemas.openxmlformats.org/officeDocument/2006/relationships/hyperlink" Target="https://www.mississippi-demographics.com/attala-county-demographics" TargetMode="External"/><Relationship Id="rId55" Type="http://schemas.openxmlformats.org/officeDocument/2006/relationships/hyperlink" Target="https://www.mississippi-demographics.com/jasper-county-demographics" TargetMode="External"/><Relationship Id="rId76" Type="http://schemas.openxmlformats.org/officeDocument/2006/relationships/hyperlink" Target="https://www.mississippi-demographics.com/choctaw-county-demographics" TargetMode="External"/><Relationship Id="rId7" Type="http://schemas.openxmlformats.org/officeDocument/2006/relationships/hyperlink" Target="https://www.mississippi-demographics.com/lee-county-demographics" TargetMode="External"/><Relationship Id="rId71" Type="http://schemas.openxmlformats.org/officeDocument/2006/relationships/hyperlink" Target="https://www.mississippi-demographics.com/tunica-county-demographics" TargetMode="External"/><Relationship Id="rId2" Type="http://schemas.openxmlformats.org/officeDocument/2006/relationships/hyperlink" Target="https://www.mississippi-demographics.com/harrison-county-demographics" TargetMode="External"/><Relationship Id="rId29" Type="http://schemas.openxmlformats.org/officeDocument/2006/relationships/hyperlink" Target="https://www.mississippi-demographics.com/leflore-county-demographics" TargetMode="External"/><Relationship Id="rId24" Type="http://schemas.openxmlformats.org/officeDocument/2006/relationships/hyperlink" Target="https://www.mississippi-demographics.com/panola-county-demographics" TargetMode="External"/><Relationship Id="rId40" Type="http://schemas.openxmlformats.org/officeDocument/2006/relationships/hyperlink" Target="https://www.mississippi-demographics.com/itawamba-county-demographics" TargetMode="External"/><Relationship Id="rId45" Type="http://schemas.openxmlformats.org/officeDocument/2006/relationships/hyperlink" Target="https://www.mississippi-demographics.com/grenada-county-demographics" TargetMode="External"/><Relationship Id="rId66" Type="http://schemas.openxmlformats.org/officeDocument/2006/relationships/hyperlink" Target="https://www.mississippi-demographics.com/jefferson-davis-county-demographics" TargetMode="External"/><Relationship Id="rId61" Type="http://schemas.openxmlformats.org/officeDocument/2006/relationships/hyperlink" Target="https://www.mississippi-demographics.com/greene-county-demographics" TargetMode="External"/><Relationship Id="rId82" Type="http://schemas.openxmlformats.org/officeDocument/2006/relationships/hyperlink" Target="https://www.mississippi-demographics.com/issaquena-county-demographics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ssouri-demographics.com/butler-county-demographics" TargetMode="External"/><Relationship Id="rId21" Type="http://schemas.openxmlformats.org/officeDocument/2006/relationships/hyperlink" Target="https://www.missouri-demographics.com/johnson-county-demographics" TargetMode="External"/><Relationship Id="rId42" Type="http://schemas.openxmlformats.org/officeDocument/2006/relationships/hyperlink" Target="https://www.missouri-demographics.com/adair-county-demographics" TargetMode="External"/><Relationship Id="rId47" Type="http://schemas.openxmlformats.org/officeDocument/2006/relationships/hyperlink" Target="https://www.missouri-demographics.com/crawford-county-demographics" TargetMode="External"/><Relationship Id="rId63" Type="http://schemas.openxmlformats.org/officeDocument/2006/relationships/hyperlink" Target="https://www.missouri-demographics.com/new-madrid-county-demographics" TargetMode="External"/><Relationship Id="rId68" Type="http://schemas.openxmlformats.org/officeDocument/2006/relationships/hyperlink" Target="https://www.missouri-demographics.com/dent-county-demographics" TargetMode="External"/><Relationship Id="rId84" Type="http://schemas.openxmlformats.org/officeDocument/2006/relationships/hyperlink" Target="https://www.missouri-demographics.com/oregon-county-demographics" TargetMode="External"/><Relationship Id="rId89" Type="http://schemas.openxmlformats.org/officeDocument/2006/relationships/hyperlink" Target="https://www.missouri-demographics.com/grundy-county-demographics" TargetMode="External"/><Relationship Id="rId16" Type="http://schemas.openxmlformats.org/officeDocument/2006/relationships/hyperlink" Target="https://www.missouri-demographics.com/cole-county-demographics" TargetMode="External"/><Relationship Id="rId11" Type="http://schemas.openxmlformats.org/officeDocument/2006/relationships/hyperlink" Target="https://www.missouri-demographics.com/franklin-county-demographics" TargetMode="External"/><Relationship Id="rId32" Type="http://schemas.openxmlformats.org/officeDocument/2006/relationships/hyperlink" Target="https://www.missouri-demographics.com/laclede-county-demographics" TargetMode="External"/><Relationship Id="rId37" Type="http://schemas.openxmlformats.org/officeDocument/2006/relationships/hyperlink" Target="https://www.missouri-demographics.com/stone-county-demographics" TargetMode="External"/><Relationship Id="rId53" Type="http://schemas.openxmlformats.org/officeDocument/2006/relationships/hyperlink" Target="https://www.missouri-demographics.com/vernon-county-demographics" TargetMode="External"/><Relationship Id="rId58" Type="http://schemas.openxmlformats.org/officeDocument/2006/relationships/hyperlink" Target="https://www.missouri-demographics.com/wright-county-demographics" TargetMode="External"/><Relationship Id="rId74" Type="http://schemas.openxmlformats.org/officeDocument/2006/relationships/hyperlink" Target="https://www.missouri-demographics.com/ripley-county-demographics" TargetMode="External"/><Relationship Id="rId79" Type="http://schemas.openxmlformats.org/officeDocument/2006/relationships/hyperlink" Target="https://www.missouri-demographics.com/madison-county-demographics" TargetMode="External"/><Relationship Id="rId102" Type="http://schemas.openxmlformats.org/officeDocument/2006/relationships/table" Target="../tables/table18.xml"/><Relationship Id="rId5" Type="http://schemas.openxmlformats.org/officeDocument/2006/relationships/hyperlink" Target="https://www.missouri-demographics.com/greene-county-demographics" TargetMode="External"/><Relationship Id="rId90" Type="http://schemas.openxmlformats.org/officeDocument/2006/relationships/hyperlink" Target="https://www.missouri-demographics.com/st-clair-county-demographics" TargetMode="External"/><Relationship Id="rId95" Type="http://schemas.openxmlformats.org/officeDocument/2006/relationships/hyperlink" Target="https://www.missouri-demographics.com/carroll-county-demographics" TargetMode="External"/><Relationship Id="rId22" Type="http://schemas.openxmlformats.org/officeDocument/2006/relationships/hyperlink" Target="https://www.missouri-demographics.com/pulaski-county-demographics" TargetMode="External"/><Relationship Id="rId27" Type="http://schemas.openxmlformats.org/officeDocument/2006/relationships/hyperlink" Target="https://www.missouri-demographics.com/pettis-county-demographics" TargetMode="External"/><Relationship Id="rId43" Type="http://schemas.openxmlformats.org/officeDocument/2006/relationships/hyperlink" Target="https://www.missouri-demographics.com/miller-county-demographics" TargetMode="External"/><Relationship Id="rId48" Type="http://schemas.openxmlformats.org/officeDocument/2006/relationships/hyperlink" Target="https://www.missouri-demographics.com/saline-county-demographics" TargetMode="External"/><Relationship Id="rId64" Type="http://schemas.openxmlformats.org/officeDocument/2006/relationships/hyperlink" Target="https://www.missouri-demographics.com/dallas-county-demographics" TargetMode="External"/><Relationship Id="rId69" Type="http://schemas.openxmlformats.org/officeDocument/2006/relationships/hyperlink" Target="https://www.missouri-demographics.com/macon-county-demographics" TargetMode="External"/><Relationship Id="rId80" Type="http://schemas.openxmlformats.org/officeDocument/2006/relationships/hyperlink" Target="https://www.missouri-demographics.com/linn-county-demographics" TargetMode="External"/><Relationship Id="rId85" Type="http://schemas.openxmlformats.org/officeDocument/2006/relationships/hyperlink" Target="https://www.missouri-demographics.com/ralls-county-demographics" TargetMode="External"/><Relationship Id="rId12" Type="http://schemas.openxmlformats.org/officeDocument/2006/relationships/hyperlink" Target="https://www.missouri-demographics.com/platte-county-demographics" TargetMode="External"/><Relationship Id="rId17" Type="http://schemas.openxmlformats.org/officeDocument/2006/relationships/hyperlink" Target="https://www.missouri-demographics.com/st-francois-county-demographics" TargetMode="External"/><Relationship Id="rId25" Type="http://schemas.openxmlformats.org/officeDocument/2006/relationships/hyperlink" Target="https://www.missouri-demographics.com/phelps-county-demographics" TargetMode="External"/><Relationship Id="rId33" Type="http://schemas.openxmlformats.org/officeDocument/2006/relationships/hyperlink" Target="https://www.missouri-demographics.com/barry-county-demographics" TargetMode="External"/><Relationship Id="rId38" Type="http://schemas.openxmlformats.org/officeDocument/2006/relationships/hyperlink" Target="https://www.missouri-demographics.com/dunklin-county-demographics" TargetMode="External"/><Relationship Id="rId46" Type="http://schemas.openxmlformats.org/officeDocument/2006/relationships/hyperlink" Target="https://www.missouri-demographics.com/randolph-county-demographics" TargetMode="External"/><Relationship Id="rId59" Type="http://schemas.openxmlformats.org/officeDocument/2006/relationships/hyperlink" Target="https://www.missouri-demographics.com/pike-county-demographics" TargetMode="External"/><Relationship Id="rId67" Type="http://schemas.openxmlformats.org/officeDocument/2006/relationships/hyperlink" Target="https://www.missouri-demographics.com/moniteau-county-demographics" TargetMode="External"/><Relationship Id="rId103" Type="http://schemas.openxmlformats.org/officeDocument/2006/relationships/table" Target="../tables/table19.xml"/><Relationship Id="rId20" Type="http://schemas.openxmlformats.org/officeDocument/2006/relationships/hyperlink" Target="https://www.missouri-demographics.com/taney-county-demographics" TargetMode="External"/><Relationship Id="rId41" Type="http://schemas.openxmlformats.org/officeDocument/2006/relationships/hyperlink" Target="https://www.missouri-demographics.com/texas-county-demographics" TargetMode="External"/><Relationship Id="rId54" Type="http://schemas.openxmlformats.org/officeDocument/2006/relationships/hyperlink" Target="https://www.missouri-demographics.com/clinton-county-demographics" TargetMode="External"/><Relationship Id="rId62" Type="http://schemas.openxmlformats.org/officeDocument/2006/relationships/hyperlink" Target="https://www.missouri-demographics.com/cooper-county-demographics" TargetMode="External"/><Relationship Id="rId70" Type="http://schemas.openxmlformats.org/officeDocument/2006/relationships/hyperlink" Target="https://www.missouri-demographics.com/livingston-county-demographics" TargetMode="External"/><Relationship Id="rId75" Type="http://schemas.openxmlformats.org/officeDocument/2006/relationships/hyperlink" Target="https://www.missouri-demographics.com/douglas-county-demographics" TargetMode="External"/><Relationship Id="rId83" Type="http://schemas.openxmlformats.org/officeDocument/2006/relationships/hyperlink" Target="https://www.missouri-demographics.com/montgomery-county-demographics" TargetMode="External"/><Relationship Id="rId88" Type="http://schemas.openxmlformats.org/officeDocument/2006/relationships/hyperlink" Target="https://www.missouri-demographics.com/lewis-county-demographics" TargetMode="External"/><Relationship Id="rId91" Type="http://schemas.openxmlformats.org/officeDocument/2006/relationships/hyperlink" Target="https://www.missouri-demographics.com/hickory-county-demographics" TargetMode="External"/><Relationship Id="rId96" Type="http://schemas.openxmlformats.org/officeDocument/2006/relationships/hyperlink" Target="https://www.missouri-demographics.com/monroe-county-demographics" TargetMode="External"/><Relationship Id="rId1" Type="http://schemas.openxmlformats.org/officeDocument/2006/relationships/hyperlink" Target="https://www.missouri-demographics.com/st-louis-county-demographics" TargetMode="External"/><Relationship Id="rId6" Type="http://schemas.openxmlformats.org/officeDocument/2006/relationships/hyperlink" Target="https://www.missouri-demographics.com/clay-county-demographics" TargetMode="External"/><Relationship Id="rId15" Type="http://schemas.openxmlformats.org/officeDocument/2006/relationships/hyperlink" Target="https://www.missouri-demographics.com/cape-girardeau-county-demographics" TargetMode="External"/><Relationship Id="rId23" Type="http://schemas.openxmlformats.org/officeDocument/2006/relationships/hyperlink" Target="https://www.missouri-demographics.com/camden-county-demographics" TargetMode="External"/><Relationship Id="rId28" Type="http://schemas.openxmlformats.org/officeDocument/2006/relationships/hyperlink" Target="https://www.missouri-demographics.com/howell-county-demographics" TargetMode="External"/><Relationship Id="rId36" Type="http://schemas.openxmlformats.org/officeDocument/2006/relationships/hyperlink" Target="https://www.missouri-demographics.com/polk-county-demographics" TargetMode="External"/><Relationship Id="rId49" Type="http://schemas.openxmlformats.org/officeDocument/2006/relationships/hyperlink" Target="https://www.missouri-demographics.com/ray-county-demographics" TargetMode="External"/><Relationship Id="rId57" Type="http://schemas.openxmlformats.org/officeDocument/2006/relationships/hyperlink" Target="https://www.missouri-demographics.com/perry-county-demographics" TargetMode="External"/><Relationship Id="rId10" Type="http://schemas.openxmlformats.org/officeDocument/2006/relationships/hyperlink" Target="https://www.missouri-demographics.com/cass-county-demographics" TargetMode="External"/><Relationship Id="rId31" Type="http://schemas.openxmlformats.org/officeDocument/2006/relationships/hyperlink" Target="https://www.missouri-demographics.com/lawrence-county-demographics" TargetMode="External"/><Relationship Id="rId44" Type="http://schemas.openxmlformats.org/officeDocument/2006/relationships/hyperlink" Target="https://www.missouri-demographics.com/audrain-county-demographics" TargetMode="External"/><Relationship Id="rId52" Type="http://schemas.openxmlformats.org/officeDocument/2006/relationships/hyperlink" Target="https://www.missouri-demographics.com/henry-county-demographics" TargetMode="External"/><Relationship Id="rId60" Type="http://schemas.openxmlformats.org/officeDocument/2006/relationships/hyperlink" Target="https://www.missouri-demographics.com/ste-genevieve-county-demographics" TargetMode="External"/><Relationship Id="rId65" Type="http://schemas.openxmlformats.org/officeDocument/2006/relationships/hyperlink" Target="https://www.missouri-demographics.com/pemiscot-county-demographics" TargetMode="External"/><Relationship Id="rId73" Type="http://schemas.openxmlformats.org/officeDocument/2006/relationships/hyperlink" Target="https://www.missouri-demographics.com/osage-county-demographics" TargetMode="External"/><Relationship Id="rId78" Type="http://schemas.openxmlformats.org/officeDocument/2006/relationships/hyperlink" Target="https://www.missouri-demographics.com/bollinger-county-demographics" TargetMode="External"/><Relationship Id="rId81" Type="http://schemas.openxmlformats.org/officeDocument/2006/relationships/hyperlink" Target="https://www.missouri-demographics.com/dekalb-county-demographics" TargetMode="External"/><Relationship Id="rId86" Type="http://schemas.openxmlformats.org/officeDocument/2006/relationships/hyperlink" Target="https://www.missouri-demographics.com/iron-county-demographics" TargetMode="External"/><Relationship Id="rId94" Type="http://schemas.openxmlformats.org/officeDocument/2006/relationships/hyperlink" Target="https://www.missouri-demographics.com/maries-county-demographics" TargetMode="External"/><Relationship Id="rId99" Type="http://schemas.openxmlformats.org/officeDocument/2006/relationships/hyperlink" Target="https://www.missouri-demographics.com/shannon-county-demographics" TargetMode="External"/><Relationship Id="rId101" Type="http://schemas.openxmlformats.org/officeDocument/2006/relationships/table" Target="../tables/table17.xml"/><Relationship Id="rId4" Type="http://schemas.openxmlformats.org/officeDocument/2006/relationships/hyperlink" Target="https://www.missouri-demographics.com/st-louis-city-county-demographics" TargetMode="External"/><Relationship Id="rId9" Type="http://schemas.openxmlformats.org/officeDocument/2006/relationships/hyperlink" Target="https://www.missouri-demographics.com/jasper-county-demographics" TargetMode="External"/><Relationship Id="rId13" Type="http://schemas.openxmlformats.org/officeDocument/2006/relationships/hyperlink" Target="https://www.missouri-demographics.com/buchanan-county-demographics" TargetMode="External"/><Relationship Id="rId18" Type="http://schemas.openxmlformats.org/officeDocument/2006/relationships/hyperlink" Target="https://www.missouri-demographics.com/newton-county-demographics" TargetMode="External"/><Relationship Id="rId39" Type="http://schemas.openxmlformats.org/officeDocument/2006/relationships/hyperlink" Target="https://www.missouri-demographics.com/stoddard-county-demographics" TargetMode="External"/><Relationship Id="rId34" Type="http://schemas.openxmlformats.org/officeDocument/2006/relationships/hyperlink" Target="https://www.missouri-demographics.com/warren-county-demographics" TargetMode="External"/><Relationship Id="rId50" Type="http://schemas.openxmlformats.org/officeDocument/2006/relationships/hyperlink" Target="https://www.missouri-demographics.com/mcdonald-county-demographics" TargetMode="External"/><Relationship Id="rId55" Type="http://schemas.openxmlformats.org/officeDocument/2006/relationships/hyperlink" Target="https://www.missouri-demographics.com/morgan-county-demographics" TargetMode="External"/><Relationship Id="rId76" Type="http://schemas.openxmlformats.org/officeDocument/2006/relationships/hyperlink" Target="https://www.missouri-demographics.com/mississippi-county-demographics" TargetMode="External"/><Relationship Id="rId97" Type="http://schemas.openxmlformats.org/officeDocument/2006/relationships/hyperlink" Target="https://www.missouri-demographics.com/harrison-county-demographics" TargetMode="External"/><Relationship Id="rId7" Type="http://schemas.openxmlformats.org/officeDocument/2006/relationships/hyperlink" Target="https://www.missouri-demographics.com/jefferson-county-demographics" TargetMode="External"/><Relationship Id="rId71" Type="http://schemas.openxmlformats.org/officeDocument/2006/relationships/hyperlink" Target="https://www.missouri-demographics.com/gasconade-county-demographics" TargetMode="External"/><Relationship Id="rId92" Type="http://schemas.openxmlformats.org/officeDocument/2006/relationships/hyperlink" Target="https://www.missouri-demographics.com/ozark-county-demographics" TargetMode="External"/><Relationship Id="rId2" Type="http://schemas.openxmlformats.org/officeDocument/2006/relationships/hyperlink" Target="https://www.missouri-demographics.com/jackson-county-demographics" TargetMode="External"/><Relationship Id="rId29" Type="http://schemas.openxmlformats.org/officeDocument/2006/relationships/hyperlink" Target="https://www.missouri-demographics.com/webster-county-demographics" TargetMode="External"/><Relationship Id="rId24" Type="http://schemas.openxmlformats.org/officeDocument/2006/relationships/hyperlink" Target="https://www.missouri-demographics.com/callaway-county-demographics" TargetMode="External"/><Relationship Id="rId40" Type="http://schemas.openxmlformats.org/officeDocument/2006/relationships/hyperlink" Target="https://www.missouri-demographics.com/marion-county-demographics" TargetMode="External"/><Relationship Id="rId45" Type="http://schemas.openxmlformats.org/officeDocument/2006/relationships/hyperlink" Target="https://www.missouri-demographics.com/washington-county-demographics" TargetMode="External"/><Relationship Id="rId66" Type="http://schemas.openxmlformats.org/officeDocument/2006/relationships/hyperlink" Target="https://www.missouri-demographics.com/bates-county-demographics" TargetMode="External"/><Relationship Id="rId87" Type="http://schemas.openxmlformats.org/officeDocument/2006/relationships/hyperlink" Target="https://www.missouri-demographics.com/howard-county-demographics" TargetMode="External"/><Relationship Id="rId61" Type="http://schemas.openxmlformats.org/officeDocument/2006/relationships/hyperlink" Target="https://www.missouri-demographics.com/andrew-county-demographics" TargetMode="External"/><Relationship Id="rId82" Type="http://schemas.openxmlformats.org/officeDocument/2006/relationships/hyperlink" Target="https://www.missouri-demographics.com/barton-county-demographics" TargetMode="External"/><Relationship Id="rId19" Type="http://schemas.openxmlformats.org/officeDocument/2006/relationships/hyperlink" Target="https://www.missouri-demographics.com/lincoln-county-demographics" TargetMode="External"/><Relationship Id="rId14" Type="http://schemas.openxmlformats.org/officeDocument/2006/relationships/hyperlink" Target="https://www.missouri-demographics.com/christian-county-demographics" TargetMode="External"/><Relationship Id="rId30" Type="http://schemas.openxmlformats.org/officeDocument/2006/relationships/hyperlink" Target="https://www.missouri-demographics.com/scott-county-demographics" TargetMode="External"/><Relationship Id="rId35" Type="http://schemas.openxmlformats.org/officeDocument/2006/relationships/hyperlink" Target="https://www.missouri-demographics.com/lafayette-county-demographics" TargetMode="External"/><Relationship Id="rId56" Type="http://schemas.openxmlformats.org/officeDocument/2006/relationships/hyperlink" Target="https://www.missouri-demographics.com/benton-county-demographics" TargetMode="External"/><Relationship Id="rId77" Type="http://schemas.openxmlformats.org/officeDocument/2006/relationships/hyperlink" Target="https://www.missouri-demographics.com/wayne-county-demographics" TargetMode="External"/><Relationship Id="rId100" Type="http://schemas.openxmlformats.org/officeDocument/2006/relationships/hyperlink" Target="https://www.missouri-demographics.com/dade-county-demographics" TargetMode="External"/><Relationship Id="rId8" Type="http://schemas.openxmlformats.org/officeDocument/2006/relationships/hyperlink" Target="https://www.missouri-demographics.com/boone-county-demographics" TargetMode="External"/><Relationship Id="rId51" Type="http://schemas.openxmlformats.org/officeDocument/2006/relationships/hyperlink" Target="https://www.missouri-demographics.com/nodaway-county-demographics" TargetMode="External"/><Relationship Id="rId72" Type="http://schemas.openxmlformats.org/officeDocument/2006/relationships/hyperlink" Target="https://www.missouri-demographics.com/cedar-county-demographics" TargetMode="External"/><Relationship Id="rId93" Type="http://schemas.openxmlformats.org/officeDocument/2006/relationships/hyperlink" Target="https://www.missouri-demographics.com/caldwell-county-demographics" TargetMode="External"/><Relationship Id="rId98" Type="http://schemas.openxmlformats.org/officeDocument/2006/relationships/hyperlink" Target="https://www.missouri-demographics.com/daviess-county-demographics" TargetMode="External"/><Relationship Id="rId3" Type="http://schemas.openxmlformats.org/officeDocument/2006/relationships/hyperlink" Target="https://www.missouri-demographics.com/st-charles-county-demographics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ebraska-demographics.com/holt-county-demographics" TargetMode="External"/><Relationship Id="rId21" Type="http://schemas.openxmlformats.org/officeDocument/2006/relationships/hyperlink" Target="https://www.nebraska-demographics.com/york-county-demographics" TargetMode="External"/><Relationship Id="rId42" Type="http://schemas.openxmlformats.org/officeDocument/2006/relationships/hyperlink" Target="https://www.nebraska-demographics.com/nemaha-county-demographics" TargetMode="External"/><Relationship Id="rId47" Type="http://schemas.openxmlformats.org/officeDocument/2006/relationships/hyperlink" Target="https://www.nebraska-demographics.com/clay-county-demographics" TargetMode="External"/><Relationship Id="rId63" Type="http://schemas.openxmlformats.org/officeDocument/2006/relationships/hyperlink" Target="https://www.nebraska-demographics.com/nance-county-demographics" TargetMode="External"/><Relationship Id="rId68" Type="http://schemas.openxmlformats.org/officeDocument/2006/relationships/hyperlink" Target="https://www.nebraska-demographics.com/perkins-county-demographics" TargetMode="External"/><Relationship Id="rId84" Type="http://schemas.openxmlformats.org/officeDocument/2006/relationships/hyperlink" Target="https://www.nebraska-demographics.com/keya-paha-county-demographics" TargetMode="External"/><Relationship Id="rId89" Type="http://schemas.openxmlformats.org/officeDocument/2006/relationships/hyperlink" Target="https://www.nebraska-demographics.com/banner-county-demographics" TargetMode="External"/><Relationship Id="rId16" Type="http://schemas.openxmlformats.org/officeDocument/2006/relationships/hyperlink" Target="https://www.nebraska-demographics.com/washington-county-demographics" TargetMode="External"/><Relationship Id="rId11" Type="http://schemas.openxmlformats.org/officeDocument/2006/relationships/hyperlink" Target="https://www.nebraska-demographics.com/adams-county-demographics" TargetMode="External"/><Relationship Id="rId32" Type="http://schemas.openxmlformats.org/officeDocument/2006/relationships/hyperlink" Target="https://www.nebraska-demographics.com/dawes-county-demographics" TargetMode="External"/><Relationship Id="rId37" Type="http://schemas.openxmlformats.org/officeDocument/2006/relationships/hyperlink" Target="https://www.nebraska-demographics.com/richardson-county-demographics" TargetMode="External"/><Relationship Id="rId53" Type="http://schemas.openxmlformats.org/officeDocument/2006/relationships/hyperlink" Target="https://www.nebraska-demographics.com/sheridan-county-demographics" TargetMode="External"/><Relationship Id="rId58" Type="http://schemas.openxmlformats.org/officeDocument/2006/relationships/hyperlink" Target="https://www.nebraska-demographics.com/morrill-county-demographics" TargetMode="External"/><Relationship Id="rId74" Type="http://schemas.openxmlformats.org/officeDocument/2006/relationships/hyperlink" Target="https://www.nebraska-demographics.com/garfield-county-demographics" TargetMode="External"/><Relationship Id="rId79" Type="http://schemas.openxmlformats.org/officeDocument/2006/relationships/hyperlink" Target="https://www.nebraska-demographics.com/deuel-county-demographics" TargetMode="External"/><Relationship Id="rId5" Type="http://schemas.openxmlformats.org/officeDocument/2006/relationships/hyperlink" Target="https://www.nebraska-demographics.com/buffalo-county-demographics" TargetMode="External"/><Relationship Id="rId90" Type="http://schemas.openxmlformats.org/officeDocument/2006/relationships/hyperlink" Target="https://www.nebraska-demographics.com/thomas-county-demographics" TargetMode="External"/><Relationship Id="rId95" Type="http://schemas.openxmlformats.org/officeDocument/2006/relationships/table" Target="../tables/table21.xml"/><Relationship Id="rId22" Type="http://schemas.openxmlformats.org/officeDocument/2006/relationships/hyperlink" Target="https://www.nebraska-demographics.com/box-butte-county-demographics" TargetMode="External"/><Relationship Id="rId27" Type="http://schemas.openxmlformats.org/officeDocument/2006/relationships/hyperlink" Target="https://www.nebraska-demographics.com/cheyenne-county-demographics" TargetMode="External"/><Relationship Id="rId43" Type="http://schemas.openxmlformats.org/officeDocument/2006/relationships/hyperlink" Target="https://www.nebraska-demographics.com/kearney-county-demographics" TargetMode="External"/><Relationship Id="rId48" Type="http://schemas.openxmlformats.org/officeDocument/2006/relationships/hyperlink" Target="https://www.nebraska-demographics.com/stanton-county-demographics" TargetMode="External"/><Relationship Id="rId64" Type="http://schemas.openxmlformats.org/officeDocument/2006/relationships/hyperlink" Target="https://www.nebraska-demographics.com/webster-county-demographics" TargetMode="External"/><Relationship Id="rId69" Type="http://schemas.openxmlformats.org/officeDocument/2006/relationships/hyperlink" Target="https://www.nebraska-demographics.com/brown-county-demographics" TargetMode="External"/><Relationship Id="rId8" Type="http://schemas.openxmlformats.org/officeDocument/2006/relationships/hyperlink" Target="https://www.nebraska-demographics.com/lincoln-county-demographics" TargetMode="External"/><Relationship Id="rId51" Type="http://schemas.openxmlformats.org/officeDocument/2006/relationships/hyperlink" Target="https://www.nebraska-demographics.com/fillmore-county-demographics" TargetMode="External"/><Relationship Id="rId72" Type="http://schemas.openxmlformats.org/officeDocument/2006/relationships/hyperlink" Target="https://www.nebraska-demographics.com/frontier-county-demographics" TargetMode="External"/><Relationship Id="rId80" Type="http://schemas.openxmlformats.org/officeDocument/2006/relationships/hyperlink" Target="https://www.nebraska-demographics.com/rock-county-demographics" TargetMode="External"/><Relationship Id="rId85" Type="http://schemas.openxmlformats.org/officeDocument/2006/relationships/hyperlink" Target="https://www.nebraska-demographics.com/hooker-county-demographics" TargetMode="External"/><Relationship Id="rId93" Type="http://schemas.openxmlformats.org/officeDocument/2006/relationships/hyperlink" Target="https://www.nebraska-demographics.com/mcpherson-county-demographics" TargetMode="External"/><Relationship Id="rId3" Type="http://schemas.openxmlformats.org/officeDocument/2006/relationships/hyperlink" Target="https://www.nebraska-demographics.com/sarpy-county-demographics" TargetMode="External"/><Relationship Id="rId12" Type="http://schemas.openxmlformats.org/officeDocument/2006/relationships/hyperlink" Target="https://www.nebraska-demographics.com/cass-county-demographics" TargetMode="External"/><Relationship Id="rId17" Type="http://schemas.openxmlformats.org/officeDocument/2006/relationships/hyperlink" Target="https://www.nebraska-demographics.com/dakota-county-demographics" TargetMode="External"/><Relationship Id="rId25" Type="http://schemas.openxmlformats.org/officeDocument/2006/relationships/hyperlink" Target="https://www.nebraska-demographics.com/colfax-county-demographics" TargetMode="External"/><Relationship Id="rId33" Type="http://schemas.openxmlformats.org/officeDocument/2006/relationships/hyperlink" Target="https://www.nebraska-demographics.com/cedar-county-demographics" TargetMode="External"/><Relationship Id="rId38" Type="http://schemas.openxmlformats.org/officeDocument/2006/relationships/hyperlink" Target="https://www.nebraska-demographics.com/merrick-county-demographics" TargetMode="External"/><Relationship Id="rId46" Type="http://schemas.openxmlformats.org/officeDocument/2006/relationships/hyperlink" Target="https://www.nebraska-demographics.com/antelope-county-demographics" TargetMode="External"/><Relationship Id="rId59" Type="http://schemas.openxmlformats.org/officeDocument/2006/relationships/hyperlink" Target="https://www.nebraska-demographics.com/nuckolls-county-demographics" TargetMode="External"/><Relationship Id="rId67" Type="http://schemas.openxmlformats.org/officeDocument/2006/relationships/hyperlink" Target="https://www.nebraska-demographics.com/franklin-county-demographics" TargetMode="External"/><Relationship Id="rId20" Type="http://schemas.openxmlformats.org/officeDocument/2006/relationships/hyperlink" Target="https://www.nebraska-demographics.com/saline-county-demographics" TargetMode="External"/><Relationship Id="rId41" Type="http://schemas.openxmlformats.org/officeDocument/2006/relationships/hyperlink" Target="https://www.nebraska-demographics.com/jefferson-county-demographics" TargetMode="External"/><Relationship Id="rId54" Type="http://schemas.openxmlformats.org/officeDocument/2006/relationships/hyperlink" Target="https://www.nebraska-demographics.com/polk-county-demographics" TargetMode="External"/><Relationship Id="rId62" Type="http://schemas.openxmlformats.org/officeDocument/2006/relationships/hyperlink" Target="https://www.nebraska-demographics.com/kimball-county-demographics" TargetMode="External"/><Relationship Id="rId70" Type="http://schemas.openxmlformats.org/officeDocument/2006/relationships/hyperlink" Target="https://www.nebraska-demographics.com/hitchcock-county-demographics" TargetMode="External"/><Relationship Id="rId75" Type="http://schemas.openxmlformats.org/officeDocument/2006/relationships/hyperlink" Target="https://www.nebraska-demographics.com/gosper-county-demographics" TargetMode="External"/><Relationship Id="rId83" Type="http://schemas.openxmlformats.org/officeDocument/2006/relationships/hyperlink" Target="https://www.nebraska-demographics.com/hayes-county-demographics" TargetMode="External"/><Relationship Id="rId88" Type="http://schemas.openxmlformats.org/officeDocument/2006/relationships/hyperlink" Target="https://www.nebraska-demographics.com/wheeler-county-demographics" TargetMode="External"/><Relationship Id="rId91" Type="http://schemas.openxmlformats.org/officeDocument/2006/relationships/hyperlink" Target="https://www.nebraska-demographics.com/blaine-county-demographics" TargetMode="External"/><Relationship Id="rId96" Type="http://schemas.openxmlformats.org/officeDocument/2006/relationships/table" Target="../tables/table22.xml"/><Relationship Id="rId1" Type="http://schemas.openxmlformats.org/officeDocument/2006/relationships/hyperlink" Target="https://www.nebraska-demographics.com/douglas-county-demographics" TargetMode="External"/><Relationship Id="rId6" Type="http://schemas.openxmlformats.org/officeDocument/2006/relationships/hyperlink" Target="https://www.nebraska-demographics.com/dodge-county-demographics" TargetMode="External"/><Relationship Id="rId15" Type="http://schemas.openxmlformats.org/officeDocument/2006/relationships/hyperlink" Target="https://www.nebraska-demographics.com/saunders-county-demographics" TargetMode="External"/><Relationship Id="rId23" Type="http://schemas.openxmlformats.org/officeDocument/2006/relationships/hyperlink" Target="https://www.nebraska-demographics.com/custer-county-demographics" TargetMode="External"/><Relationship Id="rId28" Type="http://schemas.openxmlformats.org/officeDocument/2006/relationships/hyperlink" Target="https://www.nebraska-demographics.com/wayne-county-demographics" TargetMode="External"/><Relationship Id="rId36" Type="http://schemas.openxmlformats.org/officeDocument/2006/relationships/hyperlink" Target="https://www.nebraska-demographics.com/butler-county-demographics" TargetMode="External"/><Relationship Id="rId49" Type="http://schemas.openxmlformats.org/officeDocument/2006/relationships/hyperlink" Target="https://www.nebraska-demographics.com/cherry-county-demographics" TargetMode="External"/><Relationship Id="rId57" Type="http://schemas.openxmlformats.org/officeDocument/2006/relationships/hyperlink" Target="https://www.nebraska-demographics.com/furnas-county-demographics" TargetMode="External"/><Relationship Id="rId10" Type="http://schemas.openxmlformats.org/officeDocument/2006/relationships/hyperlink" Target="https://www.nebraska-demographics.com/platte-county-demographics" TargetMode="External"/><Relationship Id="rId31" Type="http://schemas.openxmlformats.org/officeDocument/2006/relationships/hyperlink" Target="https://www.nebraska-demographics.com/cuming-county-demographics" TargetMode="External"/><Relationship Id="rId44" Type="http://schemas.openxmlformats.org/officeDocument/2006/relationships/hyperlink" Target="https://www.nebraska-demographics.com/burt-county-demographics" TargetMode="External"/><Relationship Id="rId52" Type="http://schemas.openxmlformats.org/officeDocument/2006/relationships/hyperlink" Target="https://www.nebraska-demographics.com/boone-county-demographics" TargetMode="External"/><Relationship Id="rId60" Type="http://schemas.openxmlformats.org/officeDocument/2006/relationships/hyperlink" Target="https://www.nebraska-demographics.com/valley-county-demographics" TargetMode="External"/><Relationship Id="rId65" Type="http://schemas.openxmlformats.org/officeDocument/2006/relationships/hyperlink" Target="https://www.nebraska-demographics.com/harlan-county-demographics" TargetMode="External"/><Relationship Id="rId73" Type="http://schemas.openxmlformats.org/officeDocument/2006/relationships/hyperlink" Target="https://www.nebraska-demographics.com/greeley-county-demographics" TargetMode="External"/><Relationship Id="rId78" Type="http://schemas.openxmlformats.org/officeDocument/2006/relationships/hyperlink" Target="https://www.nebraska-demographics.com/boyd-county-demographics" TargetMode="External"/><Relationship Id="rId81" Type="http://schemas.openxmlformats.org/officeDocument/2006/relationships/hyperlink" Target="https://www.nebraska-demographics.com/sioux-county-demographics" TargetMode="External"/><Relationship Id="rId86" Type="http://schemas.openxmlformats.org/officeDocument/2006/relationships/hyperlink" Target="https://www.nebraska-demographics.com/grant-county-demographics" TargetMode="External"/><Relationship Id="rId94" Type="http://schemas.openxmlformats.org/officeDocument/2006/relationships/table" Target="../tables/table20.xml"/><Relationship Id="rId4" Type="http://schemas.openxmlformats.org/officeDocument/2006/relationships/hyperlink" Target="https://www.nebraska-demographics.com/hall-county-demographics" TargetMode="External"/><Relationship Id="rId9" Type="http://schemas.openxmlformats.org/officeDocument/2006/relationships/hyperlink" Target="https://www.nebraska-demographics.com/madison-county-demographics" TargetMode="External"/><Relationship Id="rId13" Type="http://schemas.openxmlformats.org/officeDocument/2006/relationships/hyperlink" Target="https://www.nebraska-demographics.com/dawson-county-demographics" TargetMode="External"/><Relationship Id="rId18" Type="http://schemas.openxmlformats.org/officeDocument/2006/relationships/hyperlink" Target="https://www.nebraska-demographics.com/seward-county-demographics" TargetMode="External"/><Relationship Id="rId39" Type="http://schemas.openxmlformats.org/officeDocument/2006/relationships/hyperlink" Target="https://www.nebraska-demographics.com/thurston-county-demographics" TargetMode="External"/><Relationship Id="rId34" Type="http://schemas.openxmlformats.org/officeDocument/2006/relationships/hyperlink" Target="https://www.nebraska-demographics.com/knox-county-demographics" TargetMode="External"/><Relationship Id="rId50" Type="http://schemas.openxmlformats.org/officeDocument/2006/relationships/hyperlink" Target="https://www.nebraska-demographics.com/dixon-county-demographics" TargetMode="External"/><Relationship Id="rId55" Type="http://schemas.openxmlformats.org/officeDocument/2006/relationships/hyperlink" Target="https://www.nebraska-demographics.com/johnson-county-demographics" TargetMode="External"/><Relationship Id="rId76" Type="http://schemas.openxmlformats.org/officeDocument/2006/relationships/hyperlink" Target="https://www.nebraska-demographics.com/dundy-county-demographics" TargetMode="External"/><Relationship Id="rId7" Type="http://schemas.openxmlformats.org/officeDocument/2006/relationships/hyperlink" Target="https://www.nebraska-demographics.com/scotts-bluff-county-demographics" TargetMode="External"/><Relationship Id="rId71" Type="http://schemas.openxmlformats.org/officeDocument/2006/relationships/hyperlink" Target="https://www.nebraska-demographics.com/pawnee-county-demographics" TargetMode="External"/><Relationship Id="rId92" Type="http://schemas.openxmlformats.org/officeDocument/2006/relationships/hyperlink" Target="https://www.nebraska-demographics.com/arthur-county-demographics" TargetMode="External"/><Relationship Id="rId2" Type="http://schemas.openxmlformats.org/officeDocument/2006/relationships/hyperlink" Target="https://www.nebraska-demographics.com/lancaster-county-demographics" TargetMode="External"/><Relationship Id="rId29" Type="http://schemas.openxmlformats.org/officeDocument/2006/relationships/hyperlink" Target="https://www.nebraska-demographics.com/hamilton-county-demographics" TargetMode="External"/><Relationship Id="rId24" Type="http://schemas.openxmlformats.org/officeDocument/2006/relationships/hyperlink" Target="https://www.nebraska-demographics.com/red-willow-county-demographics" TargetMode="External"/><Relationship Id="rId40" Type="http://schemas.openxmlformats.org/officeDocument/2006/relationships/hyperlink" Target="https://www.nebraska-demographics.com/pierce-county-demographics" TargetMode="External"/><Relationship Id="rId45" Type="http://schemas.openxmlformats.org/officeDocument/2006/relationships/hyperlink" Target="https://www.nebraska-demographics.com/howard-county-demographics" TargetMode="External"/><Relationship Id="rId66" Type="http://schemas.openxmlformats.org/officeDocument/2006/relationships/hyperlink" Target="https://www.nebraska-demographics.com/sherman-county-demographics" TargetMode="External"/><Relationship Id="rId87" Type="http://schemas.openxmlformats.org/officeDocument/2006/relationships/hyperlink" Target="https://www.nebraska-demographics.com/loup-county-demographics" TargetMode="External"/><Relationship Id="rId61" Type="http://schemas.openxmlformats.org/officeDocument/2006/relationships/hyperlink" Target="https://www.nebraska-demographics.com/chase-county-demographics" TargetMode="External"/><Relationship Id="rId82" Type="http://schemas.openxmlformats.org/officeDocument/2006/relationships/hyperlink" Target="https://www.nebraska-demographics.com/logan-county-demographics" TargetMode="External"/><Relationship Id="rId19" Type="http://schemas.openxmlformats.org/officeDocument/2006/relationships/hyperlink" Target="https://www.nebraska-demographics.com/otoe-county-demographics" TargetMode="External"/><Relationship Id="rId14" Type="http://schemas.openxmlformats.org/officeDocument/2006/relationships/hyperlink" Target="https://www.nebraska-demographics.com/gage-county-demographics" TargetMode="External"/><Relationship Id="rId30" Type="http://schemas.openxmlformats.org/officeDocument/2006/relationships/hyperlink" Target="https://www.nebraska-demographics.com/phelps-county-demographics" TargetMode="External"/><Relationship Id="rId35" Type="http://schemas.openxmlformats.org/officeDocument/2006/relationships/hyperlink" Target="https://www.nebraska-demographics.com/keith-county-demographics" TargetMode="External"/><Relationship Id="rId56" Type="http://schemas.openxmlformats.org/officeDocument/2006/relationships/hyperlink" Target="https://www.nebraska-demographics.com/thayer-county-demographics" TargetMode="External"/><Relationship Id="rId77" Type="http://schemas.openxmlformats.org/officeDocument/2006/relationships/hyperlink" Target="https://www.nebraska-demographics.com/garden-county-demographics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vada-demographics.com/churchill-county-demographics" TargetMode="External"/><Relationship Id="rId13" Type="http://schemas.openxmlformats.org/officeDocument/2006/relationships/hyperlink" Target="https://www.nevada-demographics.com/lincoln-county-demographics" TargetMode="External"/><Relationship Id="rId18" Type="http://schemas.openxmlformats.org/officeDocument/2006/relationships/table" Target="../tables/table23.xml"/><Relationship Id="rId3" Type="http://schemas.openxmlformats.org/officeDocument/2006/relationships/hyperlink" Target="https://www.nevada-demographics.com/lyon-county-demographics" TargetMode="External"/><Relationship Id="rId7" Type="http://schemas.openxmlformats.org/officeDocument/2006/relationships/hyperlink" Target="https://www.nevada-demographics.com/nye-county-demographics" TargetMode="External"/><Relationship Id="rId12" Type="http://schemas.openxmlformats.org/officeDocument/2006/relationships/hyperlink" Target="https://www.nevada-demographics.com/lander-county-demographics" TargetMode="External"/><Relationship Id="rId17" Type="http://schemas.openxmlformats.org/officeDocument/2006/relationships/hyperlink" Target="https://www.nevada-demographics.com/esmeralda-county-demographics" TargetMode="External"/><Relationship Id="rId2" Type="http://schemas.openxmlformats.org/officeDocument/2006/relationships/hyperlink" Target="https://www.nevada-demographics.com/washoe-county-demographics" TargetMode="External"/><Relationship Id="rId16" Type="http://schemas.openxmlformats.org/officeDocument/2006/relationships/hyperlink" Target="https://www.nevada-demographics.com/eureka-county-demographics" TargetMode="External"/><Relationship Id="rId20" Type="http://schemas.openxmlformats.org/officeDocument/2006/relationships/table" Target="../tables/table25.xml"/><Relationship Id="rId1" Type="http://schemas.openxmlformats.org/officeDocument/2006/relationships/hyperlink" Target="https://www.nevada-demographics.com/clark-county-demographics" TargetMode="External"/><Relationship Id="rId6" Type="http://schemas.openxmlformats.org/officeDocument/2006/relationships/hyperlink" Target="https://www.nevada-demographics.com/douglas-county-demographics" TargetMode="External"/><Relationship Id="rId11" Type="http://schemas.openxmlformats.org/officeDocument/2006/relationships/hyperlink" Target="https://www.nevada-demographics.com/pershing-county-demographics" TargetMode="External"/><Relationship Id="rId5" Type="http://schemas.openxmlformats.org/officeDocument/2006/relationships/hyperlink" Target="https://www.nevada-demographics.com/elko-county-demographics" TargetMode="External"/><Relationship Id="rId15" Type="http://schemas.openxmlformats.org/officeDocument/2006/relationships/hyperlink" Target="https://www.nevada-demographics.com/storey-county-demographics" TargetMode="External"/><Relationship Id="rId10" Type="http://schemas.openxmlformats.org/officeDocument/2006/relationships/hyperlink" Target="https://www.nevada-demographics.com/white-pine-county-demographics" TargetMode="External"/><Relationship Id="rId19" Type="http://schemas.openxmlformats.org/officeDocument/2006/relationships/table" Target="../tables/table24.xml"/><Relationship Id="rId4" Type="http://schemas.openxmlformats.org/officeDocument/2006/relationships/hyperlink" Target="https://www.nevada-demographics.com/carson-city-county-demographics" TargetMode="External"/><Relationship Id="rId9" Type="http://schemas.openxmlformats.org/officeDocument/2006/relationships/hyperlink" Target="https://www.nevada-demographics.com/humboldt-county-demographics" TargetMode="External"/><Relationship Id="rId14" Type="http://schemas.openxmlformats.org/officeDocument/2006/relationships/hyperlink" Target="https://www.nevada-demographics.com/mineral-county-demograph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4"/>
  <sheetViews>
    <sheetView tabSelected="1" workbookViewId="0">
      <selection activeCell="AC27" sqref="AC27"/>
    </sheetView>
  </sheetViews>
  <sheetFormatPr baseColWidth="10" defaultColWidth="9.1640625" defaultRowHeight="13"/>
  <cols>
    <col min="1" max="1" width="19.5" customWidth="1"/>
    <col min="2" max="2" width="9.5" hidden="1" customWidth="1"/>
    <col min="3" max="3" width="15.5" hidden="1" customWidth="1"/>
    <col min="4" max="4" width="12.1640625" hidden="1" customWidth="1"/>
    <col min="5" max="5" width="21.1640625" hidden="1" customWidth="1"/>
    <col min="6" max="6" width="9.83203125" hidden="1" customWidth="1"/>
    <col min="7" max="7" width="20.33203125" hidden="1" customWidth="1"/>
    <col min="8" max="8" width="13.6640625" style="8" hidden="1" customWidth="1"/>
    <col min="9" max="9" width="14.1640625" style="28" bestFit="1" customWidth="1"/>
    <col min="10" max="10" width="14.6640625" style="28" bestFit="1" customWidth="1"/>
    <col min="11" max="11" width="15" style="28" bestFit="1" customWidth="1"/>
    <col min="12" max="13" width="15" style="28" customWidth="1"/>
    <col min="14" max="14" width="15" bestFit="1" customWidth="1"/>
    <col min="15" max="15" width="40" customWidth="1"/>
    <col min="18" max="18" width="11.33203125" bestFit="1" customWidth="1"/>
  </cols>
  <sheetData>
    <row r="1" spans="1:27">
      <c r="A1" s="110" t="s">
        <v>2</v>
      </c>
    </row>
    <row r="2" spans="1:27">
      <c r="A2" s="2" t="s">
        <v>0</v>
      </c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>
      <c r="A3" t="s">
        <v>56</v>
      </c>
      <c r="B3" t="s">
        <v>57</v>
      </c>
      <c r="C3" t="s">
        <v>54</v>
      </c>
      <c r="D3" t="s">
        <v>55</v>
      </c>
      <c r="E3" s="6" t="s">
        <v>58</v>
      </c>
      <c r="F3" s="6" t="s">
        <v>59</v>
      </c>
      <c r="G3" s="6" t="s">
        <v>60</v>
      </c>
      <c r="H3" s="9" t="s">
        <v>61</v>
      </c>
      <c r="I3" s="28" t="s">
        <v>1680</v>
      </c>
      <c r="J3" s="28" t="s">
        <v>1681</v>
      </c>
      <c r="K3" s="28" t="s">
        <v>1682</v>
      </c>
      <c r="L3" s="28" t="s">
        <v>3168</v>
      </c>
      <c r="M3" s="28" t="s">
        <v>3169</v>
      </c>
      <c r="N3" t="s">
        <v>1488</v>
      </c>
      <c r="O3" t="s">
        <v>1685</v>
      </c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>
      <c r="A4" s="2" t="s">
        <v>16</v>
      </c>
      <c r="B4" s="3">
        <v>11663</v>
      </c>
      <c r="C4" s="4">
        <v>5277830</v>
      </c>
      <c r="D4" s="5">
        <f t="shared" ref="D4:D46" si="0">B4/C4</f>
        <v>2.2098097134617828E-3</v>
      </c>
      <c r="E4" s="7">
        <v>0.52</v>
      </c>
      <c r="F4" s="7">
        <v>0.13</v>
      </c>
      <c r="G4" s="7">
        <v>0.35</v>
      </c>
      <c r="H4" s="8">
        <v>511</v>
      </c>
      <c r="I4" s="72">
        <v>-0.37798127799999998</v>
      </c>
      <c r="J4" s="72">
        <v>0.23723656800000001</v>
      </c>
      <c r="K4" s="83">
        <v>0.124699116</v>
      </c>
      <c r="L4" s="104" t="s">
        <v>986</v>
      </c>
      <c r="M4" s="104" t="s">
        <v>986</v>
      </c>
      <c r="N4" s="46" t="s">
        <v>986</v>
      </c>
      <c r="O4" s="72" t="s">
        <v>1688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idden="1">
      <c r="A5" s="2" t="s">
        <v>41</v>
      </c>
      <c r="B5" s="3">
        <v>3212</v>
      </c>
      <c r="C5" s="4">
        <v>724357</v>
      </c>
      <c r="D5" s="5">
        <f t="shared" si="0"/>
        <v>4.4342775730751545E-3</v>
      </c>
      <c r="E5" s="7">
        <v>0.39</v>
      </c>
      <c r="F5" s="7">
        <v>0.28999999999999998</v>
      </c>
      <c r="G5" s="7">
        <v>0.32</v>
      </c>
      <c r="H5" s="8">
        <v>310</v>
      </c>
      <c r="I5" s="72"/>
      <c r="J5" s="72"/>
      <c r="K5" s="72"/>
      <c r="L5" s="72" t="e">
        <f>AVERAGE(Table1[[#This Row],[Biden Cor.]:[Neither Cor.]])</f>
        <v>#DIV/0!</v>
      </c>
      <c r="M5" s="72"/>
      <c r="N5" s="46" t="s">
        <v>1683</v>
      </c>
      <c r="O5" s="7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>
      <c r="A6" s="2" t="s">
        <v>20</v>
      </c>
      <c r="B6" s="3">
        <v>9954</v>
      </c>
      <c r="C6" s="4">
        <v>7520103</v>
      </c>
      <c r="D6" s="5">
        <f t="shared" si="0"/>
        <v>1.3236520829568424E-3</v>
      </c>
      <c r="E6" s="7">
        <v>0.4</v>
      </c>
      <c r="F6" s="7">
        <v>0.21</v>
      </c>
      <c r="G6" s="7">
        <v>0.39</v>
      </c>
      <c r="H6" s="8">
        <v>653</v>
      </c>
      <c r="I6" s="83">
        <v>-9.8222676999999994E-2</v>
      </c>
      <c r="J6" s="72">
        <v>0.43927147799999999</v>
      </c>
      <c r="K6" s="72">
        <v>-0.35636491300000001</v>
      </c>
      <c r="L6" s="104" t="s">
        <v>986</v>
      </c>
      <c r="M6" s="104" t="s">
        <v>986</v>
      </c>
      <c r="N6" s="46" t="s">
        <v>986</v>
      </c>
      <c r="O6" s="72" t="s">
        <v>1688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hidden="1">
      <c r="A7" s="2" t="s">
        <v>22</v>
      </c>
      <c r="B7" s="3">
        <v>9241</v>
      </c>
      <c r="C7" s="4">
        <v>3033946</v>
      </c>
      <c r="D7" s="5">
        <f t="shared" si="0"/>
        <v>3.045868318025436E-3</v>
      </c>
      <c r="E7" s="7">
        <v>0.46</v>
      </c>
      <c r="F7" s="7">
        <v>0.16</v>
      </c>
      <c r="G7" s="7">
        <v>0.38</v>
      </c>
      <c r="H7" s="8">
        <v>311</v>
      </c>
      <c r="I7" s="72"/>
      <c r="J7" s="72"/>
      <c r="K7" s="72"/>
      <c r="L7" s="72" t="e">
        <f>AVERAGE(Table1[[#This Row],[Biden Cor.]:[Neither Cor.]])</f>
        <v>#DIV/0!</v>
      </c>
      <c r="M7" s="72"/>
      <c r="N7" s="46" t="s">
        <v>1683</v>
      </c>
      <c r="O7" s="7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>
      <c r="A8" s="2" t="s">
        <v>4</v>
      </c>
      <c r="B8" s="3">
        <v>60317</v>
      </c>
      <c r="C8" s="4">
        <v>29730311</v>
      </c>
      <c r="D8" s="5">
        <f t="shared" si="0"/>
        <v>2.0288048786304322E-3</v>
      </c>
      <c r="E8" s="7">
        <v>0.3</v>
      </c>
      <c r="F8" s="7">
        <v>0.21</v>
      </c>
      <c r="G8" s="7">
        <v>0.49</v>
      </c>
      <c r="H8" s="8">
        <v>3697</v>
      </c>
      <c r="I8" s="72">
        <v>-0.38124956599999998</v>
      </c>
      <c r="J8" s="72">
        <v>0.47506678800000002</v>
      </c>
      <c r="K8" s="83">
        <v>-6.2562724E-2</v>
      </c>
      <c r="L8" s="104" t="s">
        <v>986</v>
      </c>
      <c r="M8" s="104" t="s">
        <v>986</v>
      </c>
      <c r="N8" s="46" t="s">
        <v>986</v>
      </c>
      <c r="O8" s="72" t="s">
        <v>1684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spans="1:27">
      <c r="A9" s="2" t="s">
        <v>17</v>
      </c>
      <c r="B9" s="3">
        <v>11615</v>
      </c>
      <c r="C9" s="4">
        <v>5893634</v>
      </c>
      <c r="D9" s="5">
        <f t="shared" si="0"/>
        <v>1.9707704957586439E-3</v>
      </c>
      <c r="E9" s="7">
        <v>0.41</v>
      </c>
      <c r="F9" s="7">
        <v>0.17</v>
      </c>
      <c r="G9" s="7">
        <v>0.42</v>
      </c>
      <c r="H9" s="8">
        <v>504</v>
      </c>
      <c r="I9" s="72">
        <v>-0.37179496400000001</v>
      </c>
      <c r="J9" s="72">
        <v>0.33105538899999998</v>
      </c>
      <c r="K9" s="83">
        <v>8.0879064000000001E-2</v>
      </c>
      <c r="L9" s="104" t="s">
        <v>986</v>
      </c>
      <c r="M9" s="104" t="s">
        <v>986</v>
      </c>
      <c r="N9" s="46" t="s">
        <v>986</v>
      </c>
      <c r="O9" s="72" t="s">
        <v>1684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spans="1:27">
      <c r="A10" s="2" t="s">
        <v>30</v>
      </c>
      <c r="B10" s="3">
        <v>6346</v>
      </c>
      <c r="C10" s="4">
        <v>3552821</v>
      </c>
      <c r="D10" s="5">
        <f t="shared" si="0"/>
        <v>1.786186244677117E-3</v>
      </c>
      <c r="E10" s="7">
        <v>0.32</v>
      </c>
      <c r="F10" s="7">
        <v>0.18</v>
      </c>
      <c r="G10" s="7">
        <v>0.5</v>
      </c>
      <c r="H10" s="8">
        <v>377</v>
      </c>
      <c r="I10" s="83">
        <v>7.3086655E-2</v>
      </c>
      <c r="J10" s="83">
        <v>0.166138279</v>
      </c>
      <c r="K10" s="83">
        <v>-0.106111703</v>
      </c>
      <c r="L10" s="104" t="s">
        <v>986</v>
      </c>
      <c r="M10" s="104" t="s">
        <v>986</v>
      </c>
      <c r="N10" s="46" t="s">
        <v>986</v>
      </c>
      <c r="O10" s="72" t="s">
        <v>1684</v>
      </c>
    </row>
    <row r="11" spans="1:27" hidden="1">
      <c r="A11" s="2" t="s">
        <v>50</v>
      </c>
      <c r="B11" s="3">
        <v>1200</v>
      </c>
      <c r="C11" s="4">
        <v>990334</v>
      </c>
      <c r="D11" s="5">
        <f t="shared" si="0"/>
        <v>1.211712412176094E-3</v>
      </c>
      <c r="E11" s="7">
        <v>0.28999999999999998</v>
      </c>
      <c r="F11" s="7">
        <v>0.17</v>
      </c>
      <c r="G11" s="7">
        <v>0.55000000000000004</v>
      </c>
      <c r="H11" s="8">
        <v>301</v>
      </c>
      <c r="I11" s="72"/>
      <c r="J11" s="72"/>
      <c r="K11" s="72"/>
      <c r="L11" s="72" t="e">
        <f>AVERAGE(Table1[[#This Row],[Biden Cor.]:[Neither Cor.]])</f>
        <v>#DIV/0!</v>
      </c>
      <c r="M11" s="72"/>
      <c r="N11" s="46" t="s">
        <v>1683</v>
      </c>
      <c r="O11" s="72"/>
    </row>
    <row r="12" spans="1:27" hidden="1">
      <c r="A12" s="2" t="s">
        <v>48</v>
      </c>
      <c r="B12" s="3">
        <v>1568</v>
      </c>
      <c r="C12" s="4">
        <v>714153</v>
      </c>
      <c r="D12" s="5">
        <f t="shared" si="0"/>
        <v>2.1956079439559872E-3</v>
      </c>
      <c r="E12" s="7">
        <v>0.11</v>
      </c>
      <c r="F12" s="7">
        <v>0.15</v>
      </c>
      <c r="G12" s="7">
        <v>0.73</v>
      </c>
      <c r="H12" s="8">
        <v>303</v>
      </c>
      <c r="I12" s="72"/>
      <c r="J12" s="72"/>
      <c r="K12" s="72"/>
      <c r="L12" s="72" t="e">
        <f>AVERAGE(Table1[[#This Row],[Biden Cor.]:[Neither Cor.]])</f>
        <v>#DIV/0!</v>
      </c>
      <c r="M12" s="72"/>
      <c r="N12" s="46" t="s">
        <v>1683</v>
      </c>
      <c r="O12" s="72"/>
    </row>
    <row r="13" spans="1:27" hidden="1">
      <c r="A13" s="2" t="s">
        <v>7</v>
      </c>
      <c r="B13" s="3">
        <v>28268</v>
      </c>
      <c r="C13" s="4">
        <v>21944577</v>
      </c>
      <c r="D13" s="5">
        <f t="shared" si="0"/>
        <v>1.2881542442125906E-3</v>
      </c>
      <c r="E13" s="7">
        <v>0.37</v>
      </c>
      <c r="F13" s="7">
        <v>0.19</v>
      </c>
      <c r="G13" s="7">
        <v>0.44</v>
      </c>
      <c r="H13" s="8">
        <v>2020</v>
      </c>
      <c r="I13" s="72"/>
      <c r="J13" s="72"/>
      <c r="K13" s="72"/>
      <c r="L13" s="72" t="e">
        <f>AVERAGE(Table1[[#This Row],[Biden Cor.]:[Neither Cor.]])</f>
        <v>#DIV/0!</v>
      </c>
      <c r="M13" s="72"/>
      <c r="N13" s="46" t="s">
        <v>1683</v>
      </c>
      <c r="O13" s="72"/>
    </row>
    <row r="14" spans="1:27">
      <c r="A14" s="2" t="s">
        <v>23</v>
      </c>
      <c r="B14" s="3">
        <v>8690</v>
      </c>
      <c r="C14" s="4">
        <v>10830007</v>
      </c>
      <c r="D14" s="5">
        <f t="shared" si="0"/>
        <v>8.0240022005525938E-4</v>
      </c>
      <c r="E14" s="7">
        <v>0.41</v>
      </c>
      <c r="F14" s="7">
        <v>0.18</v>
      </c>
      <c r="G14" s="7">
        <v>0.41</v>
      </c>
      <c r="H14" s="8">
        <v>968</v>
      </c>
      <c r="I14" s="72">
        <v>-0.25146595300000002</v>
      </c>
      <c r="J14" s="83">
        <v>0.113793875</v>
      </c>
      <c r="K14" s="83">
        <v>0.1102407</v>
      </c>
      <c r="L14" s="104" t="s">
        <v>986</v>
      </c>
      <c r="M14" s="104" t="s">
        <v>986</v>
      </c>
      <c r="N14" s="46" t="s">
        <v>986</v>
      </c>
      <c r="O14" s="72" t="s">
        <v>1684</v>
      </c>
    </row>
    <row r="15" spans="1:27" hidden="1">
      <c r="A15" s="2" t="s">
        <v>49</v>
      </c>
      <c r="B15" s="3">
        <v>1294</v>
      </c>
      <c r="C15" s="4">
        <v>1406430</v>
      </c>
      <c r="D15" s="5">
        <f t="shared" si="0"/>
        <v>9.2006001009648538E-4</v>
      </c>
      <c r="E15" s="7">
        <v>0.28000000000000003</v>
      </c>
      <c r="F15" s="7">
        <v>0.2</v>
      </c>
      <c r="G15" s="7">
        <v>0.51</v>
      </c>
      <c r="H15" s="8">
        <v>312</v>
      </c>
      <c r="I15" s="72"/>
      <c r="J15" s="72"/>
      <c r="K15" s="72"/>
      <c r="L15" s="72" t="e">
        <f>AVERAGE(Table1[[#This Row],[Biden Cor.]:[Neither Cor.]])</f>
        <v>#DIV/0!</v>
      </c>
      <c r="M15" s="72"/>
      <c r="N15" s="46" t="s">
        <v>1683</v>
      </c>
      <c r="O15" s="72"/>
    </row>
    <row r="16" spans="1:27" hidden="1">
      <c r="A16" s="2" t="s">
        <v>45</v>
      </c>
      <c r="B16" s="3">
        <v>1958</v>
      </c>
      <c r="C16" s="4">
        <v>1860123</v>
      </c>
      <c r="D16" s="5">
        <f t="shared" si="0"/>
        <v>1.0526185633960765E-3</v>
      </c>
      <c r="E16" s="7">
        <v>0.49</v>
      </c>
      <c r="F16" s="7">
        <v>0.19</v>
      </c>
      <c r="G16" s="7">
        <v>0.32</v>
      </c>
      <c r="H16" s="8">
        <v>320</v>
      </c>
      <c r="I16" s="72"/>
      <c r="J16" s="72"/>
      <c r="K16" s="72"/>
      <c r="L16" s="72" t="e">
        <f>AVERAGE(Table1[[#This Row],[Biden Cor.]:[Neither Cor.]])</f>
        <v>#DIV/0!</v>
      </c>
      <c r="M16" s="72"/>
      <c r="N16" s="46" t="s">
        <v>1683</v>
      </c>
      <c r="O16" s="72"/>
    </row>
    <row r="17" spans="1:15" hidden="1">
      <c r="A17" s="2" t="s">
        <v>6</v>
      </c>
      <c r="B17" s="3">
        <v>35437</v>
      </c>
      <c r="C17" s="4">
        <v>12569321</v>
      </c>
      <c r="D17" s="5">
        <f t="shared" si="0"/>
        <v>2.8193249261435839E-3</v>
      </c>
      <c r="E17" s="7">
        <v>0.33</v>
      </c>
      <c r="F17" s="7">
        <v>0.19</v>
      </c>
      <c r="G17" s="7">
        <v>0.48</v>
      </c>
      <c r="H17" s="8">
        <v>1326</v>
      </c>
      <c r="I17" s="72"/>
      <c r="J17" s="72"/>
      <c r="K17" s="72"/>
      <c r="L17" s="72" t="e">
        <f>AVERAGE(Table1[[#This Row],[Biden Cor.]:[Neither Cor.]])</f>
        <v>#DIV/0!</v>
      </c>
      <c r="M17" s="72"/>
      <c r="N17" s="46" t="s">
        <v>1683</v>
      </c>
      <c r="O17" s="72"/>
    </row>
    <row r="18" spans="1:15">
      <c r="A18" s="2" t="s">
        <v>10</v>
      </c>
      <c r="B18" s="3">
        <v>22648</v>
      </c>
      <c r="C18" s="4">
        <v>6805663</v>
      </c>
      <c r="D18" s="5">
        <f t="shared" si="0"/>
        <v>3.3278168489976655E-3</v>
      </c>
      <c r="E18" s="7">
        <v>0.42</v>
      </c>
      <c r="F18" s="7">
        <v>0.2</v>
      </c>
      <c r="G18" s="7">
        <v>0.37</v>
      </c>
      <c r="H18" s="8">
        <v>654</v>
      </c>
      <c r="I18" s="83">
        <v>-9.8429399000000001E-2</v>
      </c>
      <c r="J18" s="83">
        <v>-4.3702306000000003E-2</v>
      </c>
      <c r="K18" s="83">
        <v>7.5060381999999995E-2</v>
      </c>
      <c r="L18" s="104" t="s">
        <v>986</v>
      </c>
      <c r="M18" s="104" t="s">
        <v>986</v>
      </c>
      <c r="N18" s="46" t="s">
        <v>986</v>
      </c>
      <c r="O18" s="72" t="s">
        <v>1684</v>
      </c>
    </row>
    <row r="19" spans="1:15">
      <c r="A19" s="2" t="s">
        <v>19</v>
      </c>
      <c r="B19" s="3">
        <v>10600</v>
      </c>
      <c r="C19" s="4">
        <v>3167974</v>
      </c>
      <c r="D19" s="5">
        <f t="shared" si="0"/>
        <v>3.3459870567119554E-3</v>
      </c>
      <c r="E19" s="7">
        <v>0.41</v>
      </c>
      <c r="F19" s="7">
        <v>0.19</v>
      </c>
      <c r="G19" s="7">
        <v>0.4</v>
      </c>
      <c r="H19" s="8">
        <v>330</v>
      </c>
      <c r="I19" s="83">
        <v>-6.8792661000000005E-2</v>
      </c>
      <c r="J19" s="83">
        <v>-5.5325803999999999E-2</v>
      </c>
      <c r="K19" s="83">
        <v>6.3525718999999994E-2</v>
      </c>
      <c r="L19" s="104" t="s">
        <v>986</v>
      </c>
      <c r="M19" s="104" t="s">
        <v>986</v>
      </c>
      <c r="N19" s="46" t="s">
        <v>986</v>
      </c>
      <c r="O19" s="72" t="s">
        <v>1684</v>
      </c>
    </row>
    <row r="20" spans="1:15" hidden="1">
      <c r="A20" s="2" t="s">
        <v>43</v>
      </c>
      <c r="B20" s="3">
        <v>2386</v>
      </c>
      <c r="C20" s="4">
        <v>2917224</v>
      </c>
      <c r="D20" s="5">
        <f t="shared" si="0"/>
        <v>8.1790085368830092E-4</v>
      </c>
      <c r="E20" s="7">
        <v>0.46</v>
      </c>
      <c r="F20" s="7">
        <v>0.23</v>
      </c>
      <c r="G20" s="7">
        <v>0.31</v>
      </c>
      <c r="H20" s="8">
        <v>307</v>
      </c>
      <c r="I20" s="72"/>
      <c r="J20" s="72"/>
      <c r="K20" s="72"/>
      <c r="L20" s="72" t="e">
        <f>AVERAGE(Table1[[#This Row],[Biden Cor.]:[Neither Cor.]])</f>
        <v>#DIV/0!</v>
      </c>
      <c r="M20" s="72"/>
      <c r="N20" s="46" t="s">
        <v>1683</v>
      </c>
      <c r="O20" s="72"/>
    </row>
    <row r="21" spans="1:15">
      <c r="A21" s="2" t="s">
        <v>13</v>
      </c>
      <c r="B21" s="3">
        <v>16748</v>
      </c>
      <c r="C21" s="4">
        <v>4480713</v>
      </c>
      <c r="D21" s="5">
        <f t="shared" si="0"/>
        <v>3.7377979799197137E-3</v>
      </c>
      <c r="E21" s="7">
        <v>0.44</v>
      </c>
      <c r="F21" s="7">
        <v>0.13</v>
      </c>
      <c r="G21" s="7">
        <v>0.43</v>
      </c>
      <c r="H21" s="8">
        <v>439</v>
      </c>
      <c r="I21" s="83">
        <v>6.5718578E-2</v>
      </c>
      <c r="J21" s="72">
        <v>0.39154273099999998</v>
      </c>
      <c r="K21" s="72">
        <v>-0.32253643799999998</v>
      </c>
      <c r="L21" s="104" t="s">
        <v>986</v>
      </c>
      <c r="M21" s="104" t="s">
        <v>986</v>
      </c>
      <c r="N21" s="46" t="s">
        <v>986</v>
      </c>
      <c r="O21" s="72" t="s">
        <v>1684</v>
      </c>
    </row>
    <row r="22" spans="1:15" hidden="1">
      <c r="A22" s="2" t="s">
        <v>28</v>
      </c>
      <c r="B22" s="3">
        <v>6859</v>
      </c>
      <c r="C22" s="100">
        <v>4627002</v>
      </c>
      <c r="D22" s="101">
        <f t="shared" si="0"/>
        <v>1.4823853544908778E-3</v>
      </c>
      <c r="E22" s="102">
        <v>0.41</v>
      </c>
      <c r="F22" s="102">
        <v>0.16</v>
      </c>
      <c r="G22" s="102">
        <v>0.43</v>
      </c>
      <c r="H22" s="103">
        <v>465</v>
      </c>
      <c r="I22" s="104"/>
      <c r="J22" s="104"/>
      <c r="K22" s="104"/>
      <c r="L22" s="104" t="e">
        <f>AVERAGE(Table1[[#This Row],[Biden Cor.]:[Neither Cor.]])</f>
        <v>#DIV/0!</v>
      </c>
      <c r="M22" s="104"/>
      <c r="N22" s="105" t="s">
        <v>1683</v>
      </c>
      <c r="O22" s="104"/>
    </row>
    <row r="23" spans="1:15">
      <c r="A23" s="2" t="s">
        <v>34</v>
      </c>
      <c r="B23" s="3">
        <v>4726</v>
      </c>
      <c r="C23" s="4">
        <v>1354522</v>
      </c>
      <c r="D23" s="5">
        <f t="shared" si="0"/>
        <v>3.489053703077543E-3</v>
      </c>
      <c r="E23" s="7">
        <v>0.36</v>
      </c>
      <c r="F23" s="7">
        <v>0.17</v>
      </c>
      <c r="G23" s="7">
        <v>0.47</v>
      </c>
      <c r="H23" s="8">
        <v>303</v>
      </c>
      <c r="I23" s="72">
        <v>-0.72439583299999999</v>
      </c>
      <c r="J23" s="72">
        <v>0.56327590299999997</v>
      </c>
      <c r="K23" s="72">
        <v>0.70461796399999999</v>
      </c>
      <c r="L23" s="104" t="s">
        <v>986</v>
      </c>
      <c r="M23" s="104" t="s">
        <v>986</v>
      </c>
      <c r="N23" s="46" t="s">
        <v>986</v>
      </c>
      <c r="O23" s="72" t="s">
        <v>1688</v>
      </c>
    </row>
    <row r="24" spans="1:15">
      <c r="A24" s="2" t="s">
        <v>26</v>
      </c>
      <c r="B24" s="3">
        <v>7242</v>
      </c>
      <c r="C24" s="4">
        <v>6944260</v>
      </c>
      <c r="D24" s="5">
        <f t="shared" si="0"/>
        <v>1.0428756987785595E-3</v>
      </c>
      <c r="E24" s="7">
        <v>0.31</v>
      </c>
      <c r="F24" s="7">
        <v>0.14000000000000001</v>
      </c>
      <c r="G24" s="7">
        <v>0.55000000000000004</v>
      </c>
      <c r="H24" s="8">
        <v>644</v>
      </c>
      <c r="I24" s="72">
        <v>-0.47687916899999999</v>
      </c>
      <c r="J24" s="83">
        <v>0.17539790999999999</v>
      </c>
      <c r="K24" s="72">
        <v>0.402280837</v>
      </c>
      <c r="L24" s="104" t="s">
        <v>986</v>
      </c>
      <c r="M24" s="104" t="s">
        <v>986</v>
      </c>
      <c r="N24" s="46" t="s">
        <v>986</v>
      </c>
      <c r="O24" s="72" t="s">
        <v>1688</v>
      </c>
    </row>
    <row r="25" spans="1:15" hidden="1">
      <c r="A25" s="2" t="s">
        <v>11</v>
      </c>
      <c r="B25" s="3">
        <v>22538</v>
      </c>
      <c r="C25" s="4">
        <v>6912239</v>
      </c>
      <c r="D25" s="5">
        <f t="shared" si="0"/>
        <v>3.2605932752035917E-3</v>
      </c>
      <c r="E25" s="7">
        <v>0.27</v>
      </c>
      <c r="F25" s="7">
        <v>0.17</v>
      </c>
      <c r="G25" s="7">
        <v>0.56000000000000005</v>
      </c>
      <c r="H25" s="8">
        <v>704</v>
      </c>
      <c r="I25" s="72"/>
      <c r="J25" s="72"/>
      <c r="K25" s="72"/>
      <c r="L25" s="72" t="e">
        <f>AVERAGE(Table1[[#This Row],[Biden Cor.]:[Neither Cor.]])</f>
        <v>#DIV/0!</v>
      </c>
      <c r="M25" s="72"/>
      <c r="N25" s="46" t="s">
        <v>1683</v>
      </c>
      <c r="O25" s="72"/>
    </row>
    <row r="26" spans="1:15">
      <c r="A26" s="2" t="s">
        <v>8</v>
      </c>
      <c r="B26" s="3">
        <v>26932</v>
      </c>
      <c r="C26" s="4">
        <v>9992427</v>
      </c>
      <c r="D26" s="5">
        <f t="shared" si="0"/>
        <v>2.6952411060896415E-3</v>
      </c>
      <c r="E26" s="7">
        <v>0.34</v>
      </c>
      <c r="F26" s="7">
        <v>0.19</v>
      </c>
      <c r="G26" s="7">
        <v>0.47</v>
      </c>
      <c r="H26" s="8">
        <v>982</v>
      </c>
      <c r="I26" s="72">
        <v>-0.23144624799999999</v>
      </c>
      <c r="J26" s="72">
        <v>0.13587903800000001</v>
      </c>
      <c r="K26" s="72">
        <v>8.1130619000000001E-2</v>
      </c>
      <c r="L26" s="104" t="s">
        <v>986</v>
      </c>
      <c r="M26" s="104" t="s">
        <v>986</v>
      </c>
      <c r="N26" s="46" t="s">
        <v>986</v>
      </c>
      <c r="O26" s="72" t="s">
        <v>1688</v>
      </c>
    </row>
    <row r="27" spans="1:15">
      <c r="A27" s="2" t="s">
        <v>29</v>
      </c>
      <c r="B27" s="3">
        <v>6647</v>
      </c>
      <c r="C27" s="4">
        <v>5706398</v>
      </c>
      <c r="D27" s="5">
        <f t="shared" si="0"/>
        <v>1.1648328770618524E-3</v>
      </c>
      <c r="E27" s="7">
        <v>0.39</v>
      </c>
      <c r="F27" s="7">
        <v>0.15</v>
      </c>
      <c r="G27" s="7">
        <v>0.46</v>
      </c>
      <c r="H27" s="8">
        <v>563</v>
      </c>
      <c r="I27" s="72">
        <v>-0.109314387</v>
      </c>
      <c r="J27" s="72">
        <v>3.5500060999999999E-2</v>
      </c>
      <c r="K27" s="72">
        <v>0.100703948</v>
      </c>
      <c r="L27" s="104" t="s">
        <v>986</v>
      </c>
      <c r="M27" s="104" t="s">
        <v>986</v>
      </c>
      <c r="N27" s="46" t="s">
        <v>986</v>
      </c>
      <c r="O27" s="72" t="s">
        <v>1688</v>
      </c>
    </row>
    <row r="28" spans="1:15">
      <c r="A28" s="2" t="s">
        <v>25</v>
      </c>
      <c r="B28" s="3">
        <v>8136</v>
      </c>
      <c r="C28" s="4">
        <v>2966407</v>
      </c>
      <c r="D28" s="5">
        <f t="shared" si="0"/>
        <v>2.7427119744525955E-3</v>
      </c>
      <c r="E28" s="7">
        <v>0.44</v>
      </c>
      <c r="F28" s="7">
        <v>0.14000000000000001</v>
      </c>
      <c r="G28" s="7">
        <v>0.42</v>
      </c>
      <c r="H28" s="8">
        <v>309</v>
      </c>
      <c r="I28" s="72">
        <v>-0.27227410000000002</v>
      </c>
      <c r="J28" s="72">
        <v>0.23856855199999999</v>
      </c>
      <c r="K28" s="72">
        <v>3.4963912E-2</v>
      </c>
      <c r="L28" s="104" t="s">
        <v>986</v>
      </c>
      <c r="M28" s="104" t="s">
        <v>986</v>
      </c>
      <c r="N28" s="46" t="s">
        <v>986</v>
      </c>
      <c r="O28" s="72" t="s">
        <v>1688</v>
      </c>
    </row>
    <row r="29" spans="1:15">
      <c r="A29" s="2" t="s">
        <v>36</v>
      </c>
      <c r="B29" s="3">
        <v>4449</v>
      </c>
      <c r="C29" s="4">
        <v>6169038</v>
      </c>
      <c r="D29" s="5">
        <f t="shared" si="0"/>
        <v>7.2118213569117261E-4</v>
      </c>
      <c r="E29" s="7">
        <v>0.41</v>
      </c>
      <c r="F29" s="7">
        <v>0.18</v>
      </c>
      <c r="G29" s="7">
        <v>0.42</v>
      </c>
      <c r="H29" s="8">
        <v>642</v>
      </c>
      <c r="I29" s="72">
        <v>-0.34608354899999999</v>
      </c>
      <c r="J29" s="72">
        <v>-1.0401172E-2</v>
      </c>
      <c r="K29" s="72">
        <v>0.361459382</v>
      </c>
      <c r="L29" s="104" t="s">
        <v>986</v>
      </c>
      <c r="M29" s="104" t="s">
        <v>986</v>
      </c>
      <c r="N29" s="46" t="s">
        <v>986</v>
      </c>
      <c r="O29" s="72" t="s">
        <v>1688</v>
      </c>
    </row>
    <row r="30" spans="1:15" hidden="1">
      <c r="A30" s="2" t="s">
        <v>39</v>
      </c>
      <c r="B30" s="3">
        <v>3777</v>
      </c>
      <c r="C30" s="4">
        <v>1085004</v>
      </c>
      <c r="D30" s="5">
        <f t="shared" si="0"/>
        <v>3.4810931572602497E-3</v>
      </c>
      <c r="E30" s="7">
        <v>0.49</v>
      </c>
      <c r="F30" s="7">
        <v>0.21</v>
      </c>
      <c r="G30" s="7">
        <v>0.3</v>
      </c>
      <c r="H30" s="8">
        <v>312</v>
      </c>
      <c r="I30" s="72"/>
      <c r="J30" s="72"/>
      <c r="K30" s="72"/>
      <c r="L30" s="72" t="e">
        <f>AVERAGE(Table1[[#This Row],[Biden Cor.]:[Neither Cor.]])</f>
        <v>#DIV/0!</v>
      </c>
      <c r="M30" s="72"/>
      <c r="N30" s="46" t="s">
        <v>1683</v>
      </c>
      <c r="O30" s="72"/>
    </row>
    <row r="31" spans="1:15">
      <c r="A31" s="2" t="s">
        <v>44</v>
      </c>
      <c r="B31" s="3">
        <v>2376</v>
      </c>
      <c r="C31" s="4">
        <v>1951996</v>
      </c>
      <c r="D31" s="5">
        <f t="shared" si="0"/>
        <v>1.2172156090483792E-3</v>
      </c>
      <c r="E31" s="7">
        <v>0.47</v>
      </c>
      <c r="F31" s="7">
        <v>0.17</v>
      </c>
      <c r="G31" s="7">
        <v>0.36</v>
      </c>
      <c r="H31" s="8">
        <v>312</v>
      </c>
      <c r="I31" s="83">
        <v>-9.7803622000000007E-2</v>
      </c>
      <c r="J31" s="83">
        <v>-0.128114161</v>
      </c>
      <c r="K31" s="83">
        <v>0.121319685</v>
      </c>
      <c r="L31" s="104" t="s">
        <v>986</v>
      </c>
      <c r="M31" s="104" t="s">
        <v>986</v>
      </c>
      <c r="N31" s="46" t="s">
        <v>986</v>
      </c>
      <c r="O31" s="72" t="s">
        <v>1688</v>
      </c>
    </row>
    <row r="32" spans="1:15">
      <c r="A32" s="2" t="s">
        <v>33</v>
      </c>
      <c r="B32" s="3">
        <v>5016</v>
      </c>
      <c r="C32" s="4">
        <v>3185786</v>
      </c>
      <c r="D32" s="5">
        <f t="shared" si="0"/>
        <v>1.5744937042224431E-3</v>
      </c>
      <c r="E32" s="7">
        <v>0.37</v>
      </c>
      <c r="F32" s="7">
        <v>0.18</v>
      </c>
      <c r="G32" s="7">
        <v>0.46</v>
      </c>
      <c r="H32" s="8">
        <v>314</v>
      </c>
      <c r="I32" s="83">
        <v>1.8326881E-2</v>
      </c>
      <c r="J32" s="72">
        <v>-0.45058647200000002</v>
      </c>
      <c r="K32" s="72">
        <v>0.38625443500000001</v>
      </c>
      <c r="L32" s="104" t="s">
        <v>986</v>
      </c>
      <c r="M32" s="104" t="s">
        <v>986</v>
      </c>
      <c r="N32" s="46" t="s">
        <v>986</v>
      </c>
      <c r="O32" s="72" t="s">
        <v>1688</v>
      </c>
    </row>
    <row r="33" spans="1:15">
      <c r="A33" s="2" t="s">
        <v>51</v>
      </c>
      <c r="B33" s="3">
        <v>1182</v>
      </c>
      <c r="C33" s="4">
        <v>1372203</v>
      </c>
      <c r="D33" s="5">
        <f t="shared" si="0"/>
        <v>8.6138858463361467E-4</v>
      </c>
      <c r="E33" s="7">
        <v>0.35</v>
      </c>
      <c r="F33" s="7">
        <v>0.2</v>
      </c>
      <c r="G33" s="7">
        <v>0.44</v>
      </c>
      <c r="H33" s="8">
        <v>303</v>
      </c>
      <c r="I33" s="72">
        <v>-0.59094005299999997</v>
      </c>
      <c r="J33" s="83">
        <v>7.0772242999999999E-2</v>
      </c>
      <c r="K33" s="83">
        <v>0.38991172699999999</v>
      </c>
      <c r="L33" s="104" t="s">
        <v>986</v>
      </c>
      <c r="M33" s="104" t="s">
        <v>986</v>
      </c>
      <c r="N33" s="46" t="s">
        <v>986</v>
      </c>
      <c r="O33" s="72" t="s">
        <v>1688</v>
      </c>
    </row>
    <row r="34" spans="1:15">
      <c r="A34" s="2" t="s">
        <v>40</v>
      </c>
      <c r="B34" s="3">
        <v>3655</v>
      </c>
      <c r="C34" s="4">
        <v>8874520</v>
      </c>
      <c r="D34" s="5">
        <f t="shared" si="0"/>
        <v>4.1185326079607685E-4</v>
      </c>
      <c r="E34" s="7">
        <v>0.3</v>
      </c>
      <c r="F34" s="7">
        <v>0.19</v>
      </c>
      <c r="G34" s="7">
        <v>0.51</v>
      </c>
      <c r="H34" s="8">
        <v>886</v>
      </c>
      <c r="I34" s="72">
        <v>-0.43564181699999999</v>
      </c>
      <c r="J34" s="83">
        <v>0.12667699499999999</v>
      </c>
      <c r="K34" s="83">
        <v>0.102493527</v>
      </c>
      <c r="L34" s="104" t="s">
        <v>986</v>
      </c>
      <c r="M34" s="104" t="s">
        <v>986</v>
      </c>
      <c r="N34" s="46" t="s">
        <v>986</v>
      </c>
      <c r="O34" s="72" t="s">
        <v>1688</v>
      </c>
    </row>
    <row r="35" spans="1:15">
      <c r="A35" s="2" t="s">
        <v>27</v>
      </c>
      <c r="B35" s="3">
        <v>7050</v>
      </c>
      <c r="C35" s="4">
        <v>2105005</v>
      </c>
      <c r="D35" s="5">
        <f t="shared" si="0"/>
        <v>3.3491606908297128E-3</v>
      </c>
      <c r="E35" s="7">
        <v>0.37</v>
      </c>
      <c r="F35" s="7">
        <v>0.15</v>
      </c>
      <c r="G35" s="7">
        <v>0.48</v>
      </c>
      <c r="H35" s="8">
        <v>312</v>
      </c>
      <c r="I35" s="83">
        <v>-7.5118866000000006E-2</v>
      </c>
      <c r="J35" s="83">
        <v>-0.24883860399999999</v>
      </c>
      <c r="K35" s="83">
        <v>0.246166791</v>
      </c>
      <c r="L35" s="104" t="s">
        <v>986</v>
      </c>
      <c r="M35" s="104" t="s">
        <v>986</v>
      </c>
      <c r="N35" s="46" t="s">
        <v>986</v>
      </c>
      <c r="O35" s="72" t="s">
        <v>1684</v>
      </c>
    </row>
    <row r="36" spans="1:15">
      <c r="A36" s="2" t="s">
        <v>5</v>
      </c>
      <c r="B36" s="3">
        <v>59126</v>
      </c>
      <c r="C36" s="4">
        <v>19299981</v>
      </c>
      <c r="D36" s="5">
        <f t="shared" si="0"/>
        <v>3.0635263319689281E-3</v>
      </c>
      <c r="E36" s="7">
        <v>0.28000000000000003</v>
      </c>
      <c r="F36" s="7">
        <v>0.19</v>
      </c>
      <c r="G36" s="7">
        <v>0.53</v>
      </c>
      <c r="H36" s="8">
        <v>1966</v>
      </c>
      <c r="I36" s="72">
        <v>-0.50011172199999998</v>
      </c>
      <c r="J36" s="72">
        <v>0.23134138200000001</v>
      </c>
      <c r="K36" s="72">
        <v>0.27444169800000001</v>
      </c>
      <c r="L36" s="104" t="s">
        <v>986</v>
      </c>
      <c r="M36" s="104" t="s">
        <v>986</v>
      </c>
      <c r="N36" s="46" t="s">
        <v>986</v>
      </c>
      <c r="O36" s="72" t="s">
        <v>1688</v>
      </c>
    </row>
    <row r="37" spans="1:15">
      <c r="A37" s="2" t="s">
        <v>12</v>
      </c>
      <c r="B37" s="3">
        <v>22399</v>
      </c>
      <c r="C37" s="4">
        <v>10701022</v>
      </c>
      <c r="D37" s="5">
        <f t="shared" si="0"/>
        <v>2.0931645594224552E-3</v>
      </c>
      <c r="E37" s="7">
        <v>0.41</v>
      </c>
      <c r="F37" s="7">
        <v>0.17</v>
      </c>
      <c r="G37" s="7">
        <v>0.43</v>
      </c>
      <c r="H37" s="8">
        <v>1022</v>
      </c>
      <c r="I37" s="72">
        <v>-0.347958027</v>
      </c>
      <c r="J37" s="72">
        <v>0.19129574699999999</v>
      </c>
      <c r="K37" s="83">
        <v>0.149726047</v>
      </c>
      <c r="L37" s="104" t="s">
        <v>986</v>
      </c>
      <c r="M37" s="104" t="s">
        <v>986</v>
      </c>
      <c r="N37" s="46" t="s">
        <v>986</v>
      </c>
      <c r="O37" s="72" t="s">
        <v>1688</v>
      </c>
    </row>
    <row r="38" spans="1:15">
      <c r="A38" s="2" t="s">
        <v>46</v>
      </c>
      <c r="B38" s="3">
        <v>1614</v>
      </c>
      <c r="C38" s="4">
        <v>770026</v>
      </c>
      <c r="D38" s="5">
        <f t="shared" si="0"/>
        <v>2.096033120959552E-3</v>
      </c>
      <c r="E38" s="7">
        <v>0.5</v>
      </c>
      <c r="F38" s="7">
        <v>0.18</v>
      </c>
      <c r="G38" s="7">
        <v>0.33</v>
      </c>
      <c r="H38" s="8">
        <v>338</v>
      </c>
      <c r="I38" s="83">
        <v>0.18038926599999999</v>
      </c>
      <c r="J38" s="72">
        <v>-0.24014769999999999</v>
      </c>
      <c r="K38" s="72">
        <v>0.203427939</v>
      </c>
      <c r="L38" s="104" t="s">
        <v>986</v>
      </c>
      <c r="M38" s="104" t="s">
        <v>986</v>
      </c>
      <c r="N38" s="46" t="s">
        <v>986</v>
      </c>
      <c r="O38" s="72" t="s">
        <v>1688</v>
      </c>
    </row>
    <row r="39" spans="1:15">
      <c r="A39" s="2" t="s">
        <v>9</v>
      </c>
      <c r="B39" s="3">
        <v>23691</v>
      </c>
      <c r="C39" s="4">
        <v>11714618</v>
      </c>
      <c r="D39" s="5">
        <f t="shared" si="0"/>
        <v>2.0223450734799886E-3</v>
      </c>
      <c r="E39" s="7">
        <v>0.42</v>
      </c>
      <c r="F39" s="7">
        <v>0.18</v>
      </c>
      <c r="G39" s="7">
        <v>0.4</v>
      </c>
      <c r="H39" s="8">
        <v>1132</v>
      </c>
      <c r="I39" s="72">
        <v>-0.25078531599999998</v>
      </c>
      <c r="J39" s="72">
        <v>-3.1650649000000003E-2</v>
      </c>
      <c r="K39" s="72">
        <v>0.350259555</v>
      </c>
      <c r="L39" s="104" t="s">
        <v>986</v>
      </c>
      <c r="M39" s="104" t="s">
        <v>986</v>
      </c>
      <c r="N39" s="46" t="s">
        <v>986</v>
      </c>
      <c r="O39" s="72" t="s">
        <v>1688</v>
      </c>
    </row>
    <row r="40" spans="1:15">
      <c r="A40" s="2" t="s">
        <v>14</v>
      </c>
      <c r="B40" s="3">
        <v>14685</v>
      </c>
      <c r="C40" s="4">
        <v>3990443</v>
      </c>
      <c r="D40" s="5">
        <f t="shared" si="0"/>
        <v>3.6800425416426198E-3</v>
      </c>
      <c r="E40" s="7">
        <v>0.45</v>
      </c>
      <c r="F40" s="7">
        <v>0.15</v>
      </c>
      <c r="G40" s="7">
        <v>0.4</v>
      </c>
      <c r="H40" s="8">
        <v>391</v>
      </c>
      <c r="I40" s="83">
        <v>0.108973288</v>
      </c>
      <c r="J40" s="72">
        <v>-0.24389129800000001</v>
      </c>
      <c r="K40" s="72">
        <v>0.22990881899999999</v>
      </c>
      <c r="L40" s="104" t="s">
        <v>986</v>
      </c>
      <c r="M40" s="104"/>
      <c r="N40" s="46" t="s">
        <v>986</v>
      </c>
      <c r="O40" s="72" t="s">
        <v>1688</v>
      </c>
    </row>
    <row r="41" spans="1:15">
      <c r="A41" s="2" t="s">
        <v>18</v>
      </c>
      <c r="B41" s="3">
        <v>11487</v>
      </c>
      <c r="C41" s="4">
        <v>4289439</v>
      </c>
      <c r="D41" s="5">
        <f t="shared" si="0"/>
        <v>2.6779725740359054E-3</v>
      </c>
      <c r="E41" s="7">
        <v>0.32</v>
      </c>
      <c r="F41" s="7">
        <v>0.21</v>
      </c>
      <c r="G41" s="7">
        <v>0.47</v>
      </c>
      <c r="H41" s="8">
        <v>419</v>
      </c>
      <c r="I41" s="72">
        <v>-0.383691118</v>
      </c>
      <c r="J41" s="72">
        <v>0.41177688200000001</v>
      </c>
      <c r="K41" s="83">
        <v>-7.8816576999999999E-2</v>
      </c>
      <c r="L41" s="104" t="s">
        <v>986</v>
      </c>
      <c r="M41" s="104" t="s">
        <v>986</v>
      </c>
      <c r="N41" s="46" t="s">
        <v>986</v>
      </c>
      <c r="O41" s="72" t="s">
        <v>1684</v>
      </c>
    </row>
    <row r="42" spans="1:15">
      <c r="A42" s="2" t="s">
        <v>35</v>
      </c>
      <c r="B42" s="3">
        <v>4582</v>
      </c>
      <c r="C42" s="4">
        <v>12804123</v>
      </c>
      <c r="D42" s="5">
        <f t="shared" si="0"/>
        <v>3.5785348203855896E-4</v>
      </c>
      <c r="E42" s="7">
        <v>0.39</v>
      </c>
      <c r="F42" s="7">
        <v>0.15</v>
      </c>
      <c r="G42" s="7">
        <v>0.46</v>
      </c>
      <c r="H42" s="8">
        <v>1366</v>
      </c>
      <c r="I42" s="72">
        <v>-0.46012973299999999</v>
      </c>
      <c r="J42" s="72">
        <v>0.25259732800000001</v>
      </c>
      <c r="K42" s="72">
        <v>0.37421957099999997</v>
      </c>
      <c r="L42" s="104" t="s">
        <v>986</v>
      </c>
      <c r="M42" s="104" t="s">
        <v>986</v>
      </c>
      <c r="N42" s="46" t="s">
        <v>986</v>
      </c>
      <c r="O42" s="72" t="s">
        <v>1688</v>
      </c>
    </row>
    <row r="43" spans="1:15" hidden="1">
      <c r="A43" s="2" t="s">
        <v>42</v>
      </c>
      <c r="B43" s="3">
        <v>2743</v>
      </c>
      <c r="C43" s="4">
        <v>1061509</v>
      </c>
      <c r="D43" s="5">
        <f t="shared" si="0"/>
        <v>2.5840572241968745E-3</v>
      </c>
      <c r="E43" s="7">
        <v>0.3</v>
      </c>
      <c r="F43" s="7">
        <v>0.22</v>
      </c>
      <c r="G43" s="7">
        <v>0.48</v>
      </c>
      <c r="H43" s="8">
        <v>305</v>
      </c>
      <c r="I43" s="72"/>
      <c r="J43" s="72"/>
      <c r="K43" s="72"/>
      <c r="L43" s="72" t="e">
        <f>AVERAGE(Table1[[#This Row],[Biden Cor.]:[Neither Cor.]])</f>
        <v>#DIV/0!</v>
      </c>
      <c r="M43" s="72"/>
      <c r="N43" s="46" t="s">
        <v>1683</v>
      </c>
      <c r="O43" s="72"/>
    </row>
    <row r="44" spans="1:15">
      <c r="A44" s="2" t="s">
        <v>15</v>
      </c>
      <c r="B44" s="3">
        <v>14263</v>
      </c>
      <c r="C44" s="4">
        <v>5277830</v>
      </c>
      <c r="D44" s="5">
        <f t="shared" si="0"/>
        <v>2.7024364179975484E-3</v>
      </c>
      <c r="E44" s="7">
        <v>0.43</v>
      </c>
      <c r="F44" s="7">
        <v>0.18</v>
      </c>
      <c r="G44" s="7">
        <v>0.39</v>
      </c>
      <c r="H44" s="8">
        <v>495</v>
      </c>
      <c r="I44" s="83">
        <v>-1.6801047E-2</v>
      </c>
      <c r="J44" s="83">
        <v>-0.11817137799999999</v>
      </c>
      <c r="K44" s="83">
        <v>0.21290398799999999</v>
      </c>
      <c r="L44" s="104" t="s">
        <v>986</v>
      </c>
      <c r="M44" s="104" t="s">
        <v>986</v>
      </c>
      <c r="N44" s="46" t="s">
        <v>986</v>
      </c>
      <c r="O44" s="72" t="s">
        <v>1688</v>
      </c>
    </row>
    <row r="45" spans="1:15" hidden="1">
      <c r="A45" s="2" t="s">
        <v>47</v>
      </c>
      <c r="B45" s="3">
        <v>1570</v>
      </c>
      <c r="C45" s="4">
        <v>896581</v>
      </c>
      <c r="D45" s="5">
        <f t="shared" si="0"/>
        <v>1.7510966661127103E-3</v>
      </c>
      <c r="E45" s="7">
        <v>0.53</v>
      </c>
      <c r="F45" s="7">
        <v>0.1</v>
      </c>
      <c r="G45" s="7">
        <v>0.37</v>
      </c>
      <c r="H45" s="8">
        <v>305</v>
      </c>
      <c r="I45" s="72"/>
      <c r="J45" s="72"/>
      <c r="K45" s="72"/>
      <c r="L45" s="72" t="e">
        <f>AVERAGE(Table1[[#This Row],[Biden Cor.]:[Neither Cor.]])</f>
        <v>#DIV/0!</v>
      </c>
      <c r="M45" s="72"/>
      <c r="N45" s="46" t="s">
        <v>1683</v>
      </c>
      <c r="O45" s="72"/>
    </row>
    <row r="46" spans="1:15">
      <c r="A46" s="2" t="s">
        <v>24</v>
      </c>
      <c r="B46" s="3">
        <v>8687</v>
      </c>
      <c r="C46" s="4">
        <v>6944260</v>
      </c>
      <c r="D46" s="5">
        <f t="shared" si="0"/>
        <v>1.25096122553015E-3</v>
      </c>
      <c r="E46" s="7">
        <v>0.48</v>
      </c>
      <c r="F46" s="7">
        <v>0.15</v>
      </c>
      <c r="G46" s="7">
        <v>0.36</v>
      </c>
      <c r="H46" s="8">
        <v>661</v>
      </c>
      <c r="I46" s="83">
        <v>-0.57558005999999995</v>
      </c>
      <c r="J46" s="72">
        <v>0.20123841200000001</v>
      </c>
      <c r="K46" s="72">
        <v>0.31827325099999998</v>
      </c>
      <c r="L46" s="104" t="s">
        <v>986</v>
      </c>
      <c r="M46" s="104" t="s">
        <v>986</v>
      </c>
      <c r="N46" s="46" t="s">
        <v>986</v>
      </c>
      <c r="O46" s="72" t="s">
        <v>1684</v>
      </c>
    </row>
    <row r="47" spans="1:15">
      <c r="A47" s="2" t="s">
        <v>3</v>
      </c>
      <c r="B47" s="3">
        <v>65116</v>
      </c>
      <c r="C47" s="4">
        <v>39613493</v>
      </c>
      <c r="D47" s="5">
        <f t="shared" ref="D47:D54" si="1">B47/C47</f>
        <v>1.6437833442256658E-3</v>
      </c>
      <c r="E47" s="7">
        <v>0.39</v>
      </c>
      <c r="F47" s="7">
        <v>0.21</v>
      </c>
      <c r="G47" s="7">
        <v>0.4</v>
      </c>
      <c r="H47" s="8">
        <v>2535</v>
      </c>
      <c r="I47" s="83">
        <v>-3.8793818000000001E-2</v>
      </c>
      <c r="J47" s="83">
        <v>-5.5120295E-2</v>
      </c>
      <c r="K47" s="83">
        <v>8.6365014000000004E-2</v>
      </c>
      <c r="L47" s="104" t="s">
        <v>986</v>
      </c>
      <c r="M47" s="104" t="s">
        <v>986</v>
      </c>
      <c r="N47" s="46" t="s">
        <v>986</v>
      </c>
      <c r="O47" s="72" t="s">
        <v>1684</v>
      </c>
    </row>
    <row r="48" spans="1:15">
      <c r="A48" s="2" t="s">
        <v>21</v>
      </c>
      <c r="B48" s="3">
        <v>9694</v>
      </c>
      <c r="C48" s="4">
        <v>3310774</v>
      </c>
      <c r="D48" s="5">
        <f t="shared" si="1"/>
        <v>2.9280162282294109E-3</v>
      </c>
      <c r="E48" s="7">
        <v>0.54</v>
      </c>
      <c r="F48" s="7">
        <v>0.16</v>
      </c>
      <c r="G48" s="7">
        <v>0.3</v>
      </c>
      <c r="H48" s="8">
        <v>315</v>
      </c>
      <c r="I48" s="72">
        <v>-2.2688651000000001E-2</v>
      </c>
      <c r="J48" s="72">
        <v>0.57076212999999998</v>
      </c>
      <c r="K48" s="72">
        <v>-0.56452885799999997</v>
      </c>
      <c r="L48" s="104" t="s">
        <v>986</v>
      </c>
      <c r="M48" s="104" t="s">
        <v>986</v>
      </c>
      <c r="N48" s="46" t="s">
        <v>986</v>
      </c>
      <c r="O48" s="72" t="s">
        <v>1688</v>
      </c>
    </row>
    <row r="49" spans="1:15" hidden="1">
      <c r="A49" s="2" t="s">
        <v>53</v>
      </c>
      <c r="B49" s="3">
        <v>530</v>
      </c>
      <c r="C49" s="4">
        <v>623251</v>
      </c>
      <c r="D49" s="5">
        <f t="shared" si="1"/>
        <v>8.5037970255964291E-4</v>
      </c>
      <c r="E49" s="7">
        <v>0.28999999999999998</v>
      </c>
      <c r="F49" s="7">
        <v>0.14000000000000001</v>
      </c>
      <c r="G49" s="7">
        <v>0.56999999999999995</v>
      </c>
      <c r="H49" s="8">
        <v>306</v>
      </c>
      <c r="I49" s="72"/>
      <c r="J49" s="72"/>
      <c r="K49" s="72"/>
      <c r="L49" s="72" t="e">
        <f>AVERAGE(Table1[[#This Row],[Biden Cor.]:[Neither Cor.]])</f>
        <v>#DIV/0!</v>
      </c>
      <c r="M49" s="72"/>
      <c r="N49" s="46" t="s">
        <v>1683</v>
      </c>
      <c r="O49" s="72"/>
    </row>
    <row r="50" spans="1:15">
      <c r="A50" s="2" t="s">
        <v>32</v>
      </c>
      <c r="B50" s="3">
        <v>5658</v>
      </c>
      <c r="C50" s="4">
        <v>8603985</v>
      </c>
      <c r="D50" s="5">
        <f t="shared" si="1"/>
        <v>6.5760226220757008E-4</v>
      </c>
      <c r="E50" s="7">
        <v>0.43</v>
      </c>
      <c r="F50" s="7">
        <v>0.18</v>
      </c>
      <c r="G50" s="7">
        <v>0.39</v>
      </c>
      <c r="H50" s="8">
        <v>882</v>
      </c>
      <c r="I50" s="72">
        <v>-0.46791484300000002</v>
      </c>
      <c r="J50" s="72">
        <v>0.17432863400000001</v>
      </c>
      <c r="K50" s="72">
        <v>0.28034115799999998</v>
      </c>
      <c r="L50" s="104" t="s">
        <v>986</v>
      </c>
      <c r="M50" s="104" t="s">
        <v>986</v>
      </c>
      <c r="N50" s="46" t="s">
        <v>986</v>
      </c>
      <c r="O50" s="72" t="s">
        <v>1688</v>
      </c>
    </row>
    <row r="51" spans="1:15" hidden="1">
      <c r="A51" s="2" t="s">
        <v>38</v>
      </c>
      <c r="B51" s="3">
        <v>3967</v>
      </c>
      <c r="C51" s="4">
        <v>7796941</v>
      </c>
      <c r="D51" s="5">
        <f t="shared" si="1"/>
        <v>5.0878928030877754E-4</v>
      </c>
      <c r="E51" s="7">
        <v>0.33</v>
      </c>
      <c r="F51" s="7">
        <v>0.23</v>
      </c>
      <c r="G51" s="7">
        <v>0.44</v>
      </c>
      <c r="H51" s="8">
        <v>714</v>
      </c>
      <c r="I51" s="72"/>
      <c r="J51" s="72"/>
      <c r="K51" s="72"/>
      <c r="L51" s="72" t="e">
        <f>AVERAGE(Table1[[#This Row],[Biden Cor.]:[Neither Cor.]])</f>
        <v>#DIV/0!</v>
      </c>
      <c r="M51" s="72"/>
      <c r="N51" s="46" t="s">
        <v>1683</v>
      </c>
      <c r="O51" s="72"/>
    </row>
    <row r="52" spans="1:15">
      <c r="A52" s="2" t="s">
        <v>31</v>
      </c>
      <c r="B52" s="3">
        <v>6116</v>
      </c>
      <c r="C52" s="4">
        <v>1767859</v>
      </c>
      <c r="D52" s="5">
        <f t="shared" si="1"/>
        <v>3.4595519212787897E-3</v>
      </c>
      <c r="E52" s="7">
        <v>0.43</v>
      </c>
      <c r="F52" s="7">
        <v>0.16</v>
      </c>
      <c r="G52" s="7">
        <v>0.41</v>
      </c>
      <c r="H52" s="8">
        <v>309</v>
      </c>
      <c r="I52" s="72">
        <v>-0.28259578200000002</v>
      </c>
      <c r="J52" s="83">
        <v>0.13511609799999999</v>
      </c>
      <c r="K52" s="83">
        <v>0.10715838799999999</v>
      </c>
      <c r="L52" s="104" t="s">
        <v>986</v>
      </c>
      <c r="M52" s="104" t="s">
        <v>986</v>
      </c>
      <c r="N52" s="46" t="s">
        <v>986</v>
      </c>
      <c r="O52" s="72" t="s">
        <v>1684</v>
      </c>
    </row>
    <row r="53" spans="1:15">
      <c r="A53" s="2" t="s">
        <v>37</v>
      </c>
      <c r="B53" s="3">
        <v>4177</v>
      </c>
      <c r="C53" s="4">
        <v>5852490</v>
      </c>
      <c r="D53" s="5">
        <f t="shared" si="1"/>
        <v>7.1371330835251316E-4</v>
      </c>
      <c r="E53" s="7">
        <v>0.42</v>
      </c>
      <c r="F53" s="7">
        <v>0.16</v>
      </c>
      <c r="G53" s="7">
        <v>0.42</v>
      </c>
      <c r="H53" s="8">
        <v>600</v>
      </c>
      <c r="I53" s="72">
        <v>-9.2804883000000005E-2</v>
      </c>
      <c r="J53" s="72">
        <v>-0.18660831899999999</v>
      </c>
      <c r="K53" s="72">
        <v>0.29136878300000002</v>
      </c>
      <c r="L53" s="104" t="s">
        <v>986</v>
      </c>
      <c r="M53" s="104"/>
      <c r="N53" s="46" t="s">
        <v>986</v>
      </c>
      <c r="O53" s="72" t="s">
        <v>1688</v>
      </c>
    </row>
    <row r="54" spans="1:15" hidden="1">
      <c r="A54" s="2" t="s">
        <v>52</v>
      </c>
      <c r="B54" s="3">
        <v>992</v>
      </c>
      <c r="C54" s="4">
        <v>581075</v>
      </c>
      <c r="D54" s="5">
        <f t="shared" si="1"/>
        <v>1.7071806565417545E-3</v>
      </c>
      <c r="E54" s="7">
        <v>0.56999999999999995</v>
      </c>
      <c r="F54" s="7">
        <v>0.18</v>
      </c>
      <c r="G54" s="7">
        <v>0.25</v>
      </c>
      <c r="H54" s="8">
        <v>316</v>
      </c>
      <c r="I54" s="72"/>
      <c r="J54" s="72"/>
      <c r="K54" s="72"/>
      <c r="L54" s="72" t="e">
        <f>AVERAGE(Table1[[#This Row],[Biden Cor.]:[Neither Cor.]])</f>
        <v>#DIV/0!</v>
      </c>
      <c r="M54" s="72"/>
      <c r="N54" s="46" t="s">
        <v>1683</v>
      </c>
      <c r="O54" s="72"/>
    </row>
    <row r="55" spans="1:15">
      <c r="A55" s="81"/>
      <c r="B55" s="81"/>
      <c r="C55" s="81"/>
      <c r="D55" s="81"/>
      <c r="E55" s="81"/>
      <c r="F55" s="81"/>
      <c r="G55" s="81"/>
      <c r="H55" s="103"/>
      <c r="I55" s="111"/>
      <c r="J55" s="111"/>
      <c r="K55" s="111"/>
      <c r="L55" s="111"/>
      <c r="M55" s="111"/>
      <c r="N55" s="81"/>
    </row>
    <row r="56" spans="1:15">
      <c r="A56" s="112"/>
      <c r="B56" s="112"/>
      <c r="C56" s="112"/>
      <c r="D56" s="112"/>
      <c r="E56" s="112"/>
      <c r="F56" s="112"/>
      <c r="G56" s="112"/>
      <c r="H56" s="113"/>
      <c r="I56" s="114"/>
      <c r="J56" s="114"/>
      <c r="K56" s="114"/>
      <c r="L56" s="114"/>
      <c r="M56" s="114"/>
      <c r="N56" s="81"/>
    </row>
    <row r="57" spans="1:15">
      <c r="A57" s="81"/>
      <c r="B57" s="81"/>
      <c r="C57" s="81"/>
      <c r="D57" s="81"/>
      <c r="E57" s="81"/>
      <c r="F57" s="81"/>
      <c r="G57" s="81"/>
      <c r="H57" s="103"/>
      <c r="I57" s="111"/>
      <c r="J57" s="111"/>
      <c r="K57" s="111"/>
      <c r="L57" s="111"/>
      <c r="M57" s="111"/>
      <c r="N57" s="81"/>
    </row>
    <row r="58" spans="1:15">
      <c r="A58" s="81"/>
      <c r="B58" s="81"/>
      <c r="C58" s="81"/>
      <c r="D58" s="81"/>
      <c r="E58" s="81"/>
      <c r="F58" s="81"/>
      <c r="G58" s="81"/>
      <c r="H58" s="103"/>
      <c r="I58" s="111"/>
      <c r="J58" s="111"/>
      <c r="K58" s="111"/>
      <c r="L58" s="111"/>
      <c r="M58" s="111"/>
      <c r="N58" s="81"/>
    </row>
    <row r="59" spans="1:15">
      <c r="A59" s="81"/>
      <c r="B59" s="81"/>
      <c r="C59" s="81"/>
      <c r="D59" s="81"/>
      <c r="E59" s="81"/>
      <c r="F59" s="81"/>
      <c r="G59" s="81"/>
      <c r="H59" s="103"/>
      <c r="I59" s="111"/>
      <c r="J59" s="111"/>
      <c r="K59" s="111"/>
      <c r="L59" s="111"/>
      <c r="M59" s="111"/>
      <c r="N59" s="81"/>
    </row>
    <row r="60" spans="1:15">
      <c r="A60" s="81"/>
      <c r="B60" s="81"/>
      <c r="C60" s="81"/>
      <c r="D60" s="81"/>
      <c r="E60" s="81"/>
      <c r="F60" s="81"/>
      <c r="G60" s="81"/>
      <c r="H60" s="103"/>
      <c r="I60" s="111"/>
      <c r="J60" s="111"/>
      <c r="K60" s="111"/>
      <c r="L60" s="111"/>
      <c r="M60" s="111"/>
      <c r="N60" s="81"/>
    </row>
    <row r="61" spans="1:15">
      <c r="A61" s="81"/>
      <c r="B61" s="81"/>
      <c r="C61" s="81"/>
      <c r="D61" s="81"/>
      <c r="E61" s="81"/>
      <c r="F61" s="81"/>
      <c r="G61" s="81"/>
      <c r="H61" s="103"/>
      <c r="I61" s="111"/>
      <c r="J61" s="111"/>
      <c r="K61" s="111"/>
      <c r="L61" s="111"/>
      <c r="M61" s="111"/>
      <c r="N61" s="81"/>
    </row>
    <row r="62" spans="1:15">
      <c r="A62" s="81"/>
      <c r="B62" s="81"/>
      <c r="C62" s="81"/>
      <c r="D62" s="81"/>
      <c r="E62" s="81"/>
      <c r="F62" s="81"/>
      <c r="G62" s="81"/>
      <c r="H62" s="103"/>
      <c r="I62" s="111"/>
      <c r="J62" s="111"/>
      <c r="K62" s="111"/>
      <c r="L62" s="111"/>
      <c r="M62" s="111"/>
      <c r="N62" s="81"/>
    </row>
    <row r="63" spans="1:15">
      <c r="A63" s="81"/>
      <c r="B63" s="81"/>
      <c r="C63" s="81"/>
      <c r="D63" s="81"/>
      <c r="E63" s="81"/>
      <c r="F63" s="81"/>
      <c r="G63" s="81"/>
      <c r="H63" s="103"/>
      <c r="I63" s="111"/>
      <c r="J63" s="111"/>
      <c r="K63" s="111"/>
      <c r="L63" s="111"/>
      <c r="M63" s="111"/>
      <c r="N63" s="81"/>
    </row>
    <row r="64" spans="1:15">
      <c r="A64" s="81"/>
      <c r="B64" s="81"/>
      <c r="C64" s="81"/>
      <c r="D64" s="81"/>
      <c r="E64" s="81"/>
      <c r="F64" s="81"/>
      <c r="G64" s="81"/>
      <c r="H64" s="103"/>
      <c r="I64" s="111"/>
      <c r="J64" s="111"/>
      <c r="K64" s="111"/>
      <c r="L64" s="111"/>
      <c r="M64" s="111"/>
      <c r="N64" s="81"/>
    </row>
    <row r="65" spans="1:14">
      <c r="A65" s="81"/>
      <c r="B65" s="81"/>
      <c r="C65" s="81"/>
      <c r="D65" s="81"/>
      <c r="E65" s="81"/>
      <c r="F65" s="81"/>
      <c r="G65" s="81"/>
      <c r="H65" s="103"/>
      <c r="I65" s="111"/>
      <c r="J65" s="111"/>
      <c r="K65" s="111"/>
      <c r="L65" s="111"/>
      <c r="M65" s="111"/>
      <c r="N65" s="81"/>
    </row>
    <row r="66" spans="1:14">
      <c r="A66" s="81"/>
      <c r="B66" s="81"/>
      <c r="C66" s="81"/>
      <c r="D66" s="81"/>
      <c r="E66" s="81"/>
      <c r="F66" s="81"/>
      <c r="G66" s="81"/>
      <c r="H66" s="103"/>
      <c r="I66" s="111"/>
      <c r="J66" s="111"/>
      <c r="K66" s="111"/>
      <c r="L66" s="111"/>
      <c r="M66" s="111"/>
      <c r="N66" s="81"/>
    </row>
    <row r="67" spans="1:14">
      <c r="A67" s="81"/>
      <c r="B67" s="81"/>
      <c r="C67" s="81"/>
      <c r="D67" s="81"/>
      <c r="E67" s="81"/>
      <c r="F67" s="81"/>
      <c r="G67" s="81"/>
      <c r="H67" s="103"/>
      <c r="I67" s="111"/>
      <c r="J67" s="111"/>
      <c r="K67" s="111"/>
      <c r="L67" s="111"/>
      <c r="M67" s="111"/>
      <c r="N67" s="111"/>
    </row>
    <row r="68" spans="1:14">
      <c r="A68" s="111"/>
      <c r="B68" s="81"/>
      <c r="C68" s="81"/>
      <c r="D68" s="81"/>
      <c r="E68" s="81"/>
      <c r="F68" s="81"/>
      <c r="G68" s="81"/>
      <c r="H68" s="103"/>
      <c r="I68" s="111"/>
      <c r="J68" s="111"/>
      <c r="K68" s="111"/>
      <c r="L68" s="111"/>
      <c r="M68" s="111"/>
      <c r="N68" s="111"/>
    </row>
    <row r="69" spans="1:14">
      <c r="A69" s="81"/>
      <c r="B69" s="81"/>
      <c r="C69" s="81"/>
      <c r="D69" s="81"/>
      <c r="E69" s="81"/>
      <c r="F69" s="81"/>
      <c r="G69" s="81"/>
      <c r="H69" s="103"/>
      <c r="I69" s="111"/>
      <c r="J69" s="115"/>
      <c r="K69" s="111"/>
      <c r="L69" s="111"/>
      <c r="M69" s="111"/>
      <c r="N69" s="81"/>
    </row>
    <row r="70" spans="1:14">
      <c r="A70" s="81"/>
      <c r="B70" s="81"/>
      <c r="C70" s="81"/>
      <c r="D70" s="81"/>
      <c r="E70" s="81"/>
      <c r="F70" s="81"/>
      <c r="G70" s="81"/>
      <c r="H70" s="103"/>
      <c r="I70" s="111"/>
      <c r="J70" s="111"/>
      <c r="K70" s="111"/>
      <c r="L70" s="111"/>
      <c r="M70" s="111"/>
      <c r="N70" s="81"/>
    </row>
    <row r="71" spans="1:14">
      <c r="A71" s="81"/>
      <c r="B71" s="81"/>
      <c r="C71" s="81"/>
      <c r="D71" s="81"/>
      <c r="E71" s="81"/>
      <c r="F71" s="81"/>
      <c r="G71" s="81"/>
      <c r="H71" s="103"/>
      <c r="I71" s="111"/>
      <c r="J71" s="111"/>
      <c r="K71" s="111"/>
      <c r="L71" s="111"/>
      <c r="M71" s="111"/>
      <c r="N71" s="81"/>
    </row>
    <row r="72" spans="1:14">
      <c r="A72" s="81"/>
      <c r="B72" s="81"/>
      <c r="C72" s="81"/>
      <c r="D72" s="81"/>
      <c r="E72" s="81"/>
      <c r="F72" s="81"/>
      <c r="G72" s="81"/>
      <c r="H72" s="103"/>
      <c r="I72" s="111"/>
      <c r="J72" s="111"/>
      <c r="K72" s="111"/>
      <c r="L72" s="111"/>
      <c r="M72" s="111"/>
      <c r="N72" s="81"/>
    </row>
    <row r="73" spans="1:14">
      <c r="A73" s="81"/>
      <c r="B73" s="81"/>
      <c r="C73" s="81"/>
      <c r="D73" s="81"/>
      <c r="E73" s="81"/>
      <c r="F73" s="81"/>
      <c r="G73" s="81"/>
      <c r="H73" s="103"/>
      <c r="I73" s="111"/>
      <c r="J73" s="111"/>
      <c r="K73" s="111"/>
      <c r="L73" s="111"/>
      <c r="M73" s="111"/>
      <c r="N73" s="81"/>
    </row>
    <row r="74" spans="1:14">
      <c r="A74" s="81"/>
      <c r="B74" s="81"/>
      <c r="C74" s="81"/>
      <c r="D74" s="81"/>
      <c r="E74" s="81"/>
      <c r="F74" s="81"/>
      <c r="G74" s="81"/>
      <c r="H74" s="103"/>
      <c r="I74" s="116"/>
      <c r="J74" s="116"/>
      <c r="K74" s="116"/>
      <c r="L74" s="117"/>
      <c r="M74" s="118"/>
      <c r="N74" s="81"/>
    </row>
  </sheetData>
  <conditionalFormatting sqref="I4:J53">
    <cfRule type="cellIs" dxfId="3" priority="1" operator="between">
      <formula>$K$68</formula>
      <formula>$L$68</formula>
    </cfRule>
    <cfRule type="cellIs" dxfId="2" priority="3" operator="between">
      <formula>$J$68</formula>
      <formula>$K$68</formula>
    </cfRule>
    <cfRule type="cellIs" dxfId="1" priority="4" operator="between">
      <formula>$I$68</formula>
      <formula>$J$68</formula>
    </cfRule>
    <cfRule type="cellIs" dxfId="0" priority="5" operator="between">
      <formula>$A$68</formula>
      <formula>$I$68</formula>
    </cfRule>
  </conditionalFormatting>
  <pageMargins left="0.75" right="0.75" top="1" bottom="1" header="0.5" footer="0.5"/>
  <pageSetup orientation="portrait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D56E-E6A8-B647-9E88-F516385DD7EC}">
  <dimension ref="A1:Q23"/>
  <sheetViews>
    <sheetView topLeftCell="B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4" max="4" width="10.83203125" style="1"/>
    <col min="6" max="6" width="12.1640625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ht="21">
      <c r="A1" s="95" t="s">
        <v>64</v>
      </c>
      <c r="B1" s="95" t="s">
        <v>1674</v>
      </c>
      <c r="C1" s="95" t="s">
        <v>2046</v>
      </c>
      <c r="D1" s="95" t="s">
        <v>1677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t="s">
        <v>267</v>
      </c>
      <c r="Q1" t="s">
        <v>328</v>
      </c>
    </row>
    <row r="2" spans="1:17" ht="20">
      <c r="A2" s="78" t="s">
        <v>2297</v>
      </c>
      <c r="B2" s="78" t="s">
        <v>297</v>
      </c>
      <c r="C2" s="78">
        <v>81</v>
      </c>
      <c r="D2" s="78">
        <f>Table64[[#This Row],[2016]]/C14</f>
        <v>1.3240919344819696E-3</v>
      </c>
      <c r="F2" s="16" t="s">
        <v>2307</v>
      </c>
      <c r="G2" s="17">
        <v>16894</v>
      </c>
      <c r="H2" s="80">
        <f>Table65[[#This Row],[BIDEN VOTES]]/C14</f>
        <v>0.27616307581652338</v>
      </c>
      <c r="I2" s="18">
        <v>0.44</v>
      </c>
      <c r="J2" s="17">
        <v>20899</v>
      </c>
      <c r="K2" s="80">
        <f>Table65[[#This Row],[TRUMP VOTES]]/C14</f>
        <v>0.34163206591035405</v>
      </c>
      <c r="L2" s="18">
        <v>0.54400000000000004</v>
      </c>
      <c r="M2" s="80">
        <f>1-(Table65[[#This Row],[NbP]]+Table65[[#This Row],[NbP2]])</f>
        <v>0.38220485827312256</v>
      </c>
      <c r="O2" t="s">
        <v>1672</v>
      </c>
      <c r="P2">
        <f>CORREL(D:D,H:H)</f>
        <v>-0.59094005312466047</v>
      </c>
      <c r="Q2">
        <v>0.1</v>
      </c>
    </row>
    <row r="3" spans="1:17" ht="20">
      <c r="A3" s="78" t="s">
        <v>79</v>
      </c>
      <c r="B3" s="78" t="s">
        <v>297</v>
      </c>
      <c r="C3" s="78">
        <v>37</v>
      </c>
      <c r="D3" s="78">
        <f>Table64[[#This Row],[2016]]/C15</f>
        <v>7.6350054683147275E-4</v>
      </c>
      <c r="F3" s="16" t="s">
        <v>178</v>
      </c>
      <c r="G3" s="17">
        <v>16649</v>
      </c>
      <c r="H3" s="80">
        <f>Table65[[#This Row],[BIDEN VOTES]]/C15</f>
        <v>0.34355461092424838</v>
      </c>
      <c r="I3" s="18">
        <v>0.501</v>
      </c>
      <c r="J3" s="17">
        <v>16150</v>
      </c>
      <c r="K3" s="80">
        <f>Table65[[#This Row],[TRUMP VOTES]]/C15</f>
        <v>0.33325767111698068</v>
      </c>
      <c r="L3" s="18">
        <v>0.48599999999999999</v>
      </c>
      <c r="M3" s="80">
        <f>1-(Table65[[#This Row],[NbP]]+Table65[[#This Row],[NbP2]])</f>
        <v>0.32318771795877099</v>
      </c>
      <c r="O3" t="s">
        <v>1671</v>
      </c>
      <c r="P3" s="37">
        <f>CORREL(D:D,K:K)</f>
        <v>7.0772243200770552E-2</v>
      </c>
      <c r="Q3">
        <v>0.1</v>
      </c>
    </row>
    <row r="4" spans="1:17" ht="20">
      <c r="A4" s="78" t="s">
        <v>2298</v>
      </c>
      <c r="B4" s="78" t="s">
        <v>297</v>
      </c>
      <c r="C4" s="78">
        <v>94</v>
      </c>
      <c r="D4" s="78">
        <f>Table64[[#This Row],[2016]]/C16</f>
        <v>1.2361914781693845E-3</v>
      </c>
      <c r="F4" s="16" t="s">
        <v>2306</v>
      </c>
      <c r="G4" s="17">
        <v>25522</v>
      </c>
      <c r="H4" s="80">
        <f>Table65[[#This Row],[BIDEN VOTES]]/C16</f>
        <v>0.33563913729615991</v>
      </c>
      <c r="I4" s="18">
        <v>0.57699999999999996</v>
      </c>
      <c r="J4" s="17">
        <v>17898</v>
      </c>
      <c r="K4" s="80">
        <f>Table65[[#This Row],[TRUMP VOTES]]/C16</f>
        <v>0.23537611783271961</v>
      </c>
      <c r="L4" s="18">
        <v>0.40500000000000003</v>
      </c>
      <c r="M4" s="80">
        <f>1-(Table65[[#This Row],[NbP]]+Table65[[#This Row],[NbP2]])</f>
        <v>0.42898474487112048</v>
      </c>
      <c r="O4" t="s">
        <v>1679</v>
      </c>
      <c r="P4" s="37">
        <f>CORREL(D:D,M:M)</f>
        <v>0.38991172682946024</v>
      </c>
      <c r="Q4">
        <v>0.1</v>
      </c>
    </row>
    <row r="5" spans="1:17" ht="20">
      <c r="A5" s="78" t="s">
        <v>319</v>
      </c>
      <c r="B5" s="78" t="s">
        <v>297</v>
      </c>
      <c r="C5" s="78">
        <v>46</v>
      </c>
      <c r="D5" s="78">
        <f>Table64[[#This Row],[2016]]/C17</f>
        <v>1.460966778885854E-3</v>
      </c>
      <c r="F5" s="16" t="s">
        <v>272</v>
      </c>
      <c r="G5" s="17">
        <v>7640</v>
      </c>
      <c r="H5" s="80">
        <f>Table65[[#This Row],[BIDEN VOTES]]/C17</f>
        <v>0.2426475258845201</v>
      </c>
      <c r="I5" s="18">
        <v>0.46300000000000002</v>
      </c>
      <c r="J5" s="17">
        <v>8617</v>
      </c>
      <c r="K5" s="80">
        <f>Table65[[#This Row],[TRUMP VOTES]]/C17</f>
        <v>0.27367718986216094</v>
      </c>
      <c r="L5" s="18">
        <v>0.52200000000000002</v>
      </c>
      <c r="M5" s="80">
        <f>1-(Table65[[#This Row],[NbP]]+Table65[[#This Row],[NbP2]])</f>
        <v>0.48367528425331896</v>
      </c>
    </row>
    <row r="6" spans="1:17" ht="20">
      <c r="A6" s="78" t="s">
        <v>2299</v>
      </c>
      <c r="B6" s="78" t="s">
        <v>297</v>
      </c>
      <c r="C6" s="78">
        <v>58</v>
      </c>
      <c r="D6" s="78">
        <f>Table64[[#This Row],[2016]]/C18</f>
        <v>6.4208300583409904E-4</v>
      </c>
      <c r="F6" s="16" t="s">
        <v>2304</v>
      </c>
      <c r="G6" s="17">
        <v>33180</v>
      </c>
      <c r="H6" s="80">
        <f>Table65[[#This Row],[BIDEN VOTES]]/C18</f>
        <v>0.36731576092371387</v>
      </c>
      <c r="I6" s="18">
        <v>0.61499999999999999</v>
      </c>
      <c r="J6" s="17">
        <v>19905</v>
      </c>
      <c r="K6" s="80">
        <f>Table65[[#This Row],[TRUMP VOTES]]/C18</f>
        <v>0.2203562453642714</v>
      </c>
      <c r="L6" s="18">
        <v>0.36899999999999999</v>
      </c>
      <c r="M6" s="80">
        <f>1-(Table65[[#This Row],[NbP]]+Table65[[#This Row],[NbP2]])</f>
        <v>0.41232799371201478</v>
      </c>
    </row>
    <row r="7" spans="1:17" ht="20">
      <c r="A7" s="78" t="s">
        <v>2300</v>
      </c>
      <c r="B7" s="78" t="s">
        <v>297</v>
      </c>
      <c r="C7" s="78">
        <v>240</v>
      </c>
      <c r="D7" s="78">
        <f>Table64[[#This Row],[2016]]/C19</f>
        <v>5.7788853974789615E-4</v>
      </c>
      <c r="F7" s="16" t="s">
        <v>2308</v>
      </c>
      <c r="G7" s="17">
        <v>122344</v>
      </c>
      <c r="H7" s="80">
        <f>Table65[[#This Row],[BIDEN VOTES]]/C19</f>
        <v>0.29458831461215251</v>
      </c>
      <c r="I7" s="18">
        <v>0.53</v>
      </c>
      <c r="J7" s="17">
        <v>104625</v>
      </c>
      <c r="K7" s="80">
        <f>Table65[[#This Row],[TRUMP VOTES]]/C19</f>
        <v>0.25192328529634844</v>
      </c>
      <c r="L7" s="18">
        <v>0.45300000000000001</v>
      </c>
      <c r="M7" s="80">
        <f>1-(Table65[[#This Row],[NbP]]+Table65[[#This Row],[NbP2]])</f>
        <v>0.45348840009149904</v>
      </c>
    </row>
    <row r="8" spans="1:17" ht="20">
      <c r="A8" s="78" t="s">
        <v>2301</v>
      </c>
      <c r="B8" s="78" t="s">
        <v>297</v>
      </c>
      <c r="C8" s="78">
        <v>76</v>
      </c>
      <c r="D8" s="78">
        <f>Table64[[#This Row],[2016]]/C20</f>
        <v>5.0363812275516556E-4</v>
      </c>
      <c r="F8" s="16" t="s">
        <v>2305</v>
      </c>
      <c r="G8" s="17">
        <v>48533</v>
      </c>
      <c r="H8" s="80">
        <f>Table65[[#This Row],[BIDEN VOTES]]/C20</f>
        <v>0.32161932910100594</v>
      </c>
      <c r="I8" s="18">
        <v>0.54</v>
      </c>
      <c r="J8" s="17">
        <v>39711</v>
      </c>
      <c r="K8" s="80">
        <f>Table65[[#This Row],[TRUMP VOTES]]/C20</f>
        <v>0.26315754595697871</v>
      </c>
      <c r="L8" s="18">
        <v>0.442</v>
      </c>
      <c r="M8" s="80">
        <f>1-(Table65[[#This Row],[NbP]]+Table65[[#This Row],[NbP2]])</f>
        <v>0.4152231249420153</v>
      </c>
    </row>
    <row r="9" spans="1:17" ht="20">
      <c r="A9" s="78" t="s">
        <v>2302</v>
      </c>
      <c r="B9" s="78" t="s">
        <v>297</v>
      </c>
      <c r="C9" s="78">
        <v>108</v>
      </c>
      <c r="D9" s="78">
        <f>Table64[[#This Row],[2016]]/C21</f>
        <v>3.504092975266944E-4</v>
      </c>
      <c r="F9" s="16" t="s">
        <v>2309</v>
      </c>
      <c r="G9" s="17">
        <v>100064</v>
      </c>
      <c r="H9" s="80">
        <f>Table65[[#This Row],[BIDEN VOTES]]/C21</f>
        <v>0.32466070321954765</v>
      </c>
      <c r="I9" s="18">
        <v>0.503</v>
      </c>
      <c r="J9" s="17">
        <v>95858</v>
      </c>
      <c r="K9" s="80">
        <f>Table65[[#This Row],[TRUMP VOTES]]/C21</f>
        <v>0.31101420779920247</v>
      </c>
      <c r="L9" s="18">
        <v>0.48199999999999998</v>
      </c>
      <c r="M9" s="80">
        <f>1-(Table65[[#This Row],[NbP]]+Table65[[#This Row],[NbP2]])</f>
        <v>0.36432508898124993</v>
      </c>
    </row>
    <row r="10" spans="1:17" ht="20">
      <c r="A10" s="78" t="s">
        <v>2303</v>
      </c>
      <c r="B10" s="78" t="s">
        <v>297</v>
      </c>
      <c r="C10" s="78">
        <v>121</v>
      </c>
      <c r="D10" s="78">
        <f>Table64[[#This Row],[2016]]/C22</f>
        <v>9.2961793471162634E-4</v>
      </c>
      <c r="F10" s="16" t="s">
        <v>2310</v>
      </c>
      <c r="G10" s="17">
        <v>41721</v>
      </c>
      <c r="H10" s="80">
        <f>Table65[[#This Row],[BIDEN VOTES]]/C22</f>
        <v>0.32053380044713853</v>
      </c>
      <c r="I10" s="18">
        <v>0.56699999999999995</v>
      </c>
      <c r="J10" s="17">
        <v>30489</v>
      </c>
      <c r="K10" s="80">
        <f>Table65[[#This Row],[TRUMP VOTES]]/C22</f>
        <v>0.23424067116878328</v>
      </c>
      <c r="L10" s="18">
        <v>0.41399999999999998</v>
      </c>
      <c r="M10" s="80">
        <f>1-(Table65[[#This Row],[NbP]]+Table65[[#This Row],[NbP2]])</f>
        <v>0.44522552838407825</v>
      </c>
    </row>
    <row r="11" spans="1:17" ht="20">
      <c r="A11" s="78" t="s">
        <v>152</v>
      </c>
      <c r="B11" s="78" t="s">
        <v>297</v>
      </c>
      <c r="C11" s="78">
        <v>44</v>
      </c>
      <c r="D11" s="78">
        <f>Table64[[#This Row],[2016]]/C23</f>
        <v>1.0191554907002061E-3</v>
      </c>
      <c r="F11" s="16" t="s">
        <v>250</v>
      </c>
      <c r="G11" s="17">
        <v>12390</v>
      </c>
      <c r="H11" s="80">
        <f>Table65[[#This Row],[BIDEN VOTES]]/C23</f>
        <v>0.28698492113126262</v>
      </c>
      <c r="I11" s="18">
        <v>0.50800000000000001</v>
      </c>
      <c r="J11" s="17">
        <v>11508</v>
      </c>
      <c r="K11" s="80">
        <f>Table65[[#This Row],[TRUMP VOTES]]/C23</f>
        <v>0.2665554860676812</v>
      </c>
      <c r="L11" s="18">
        <v>0.47199999999999998</v>
      </c>
      <c r="M11" s="80">
        <f>1-(Table65[[#This Row],[NbP]]+Table65[[#This Row],[NbP2]])</f>
        <v>0.44645959280105618</v>
      </c>
    </row>
    <row r="13" spans="1:17" ht="21">
      <c r="A13" s="77" t="s">
        <v>1670</v>
      </c>
      <c r="B13" s="77" t="s">
        <v>69</v>
      </c>
      <c r="C13" s="77" t="s">
        <v>54</v>
      </c>
    </row>
    <row r="14" spans="1:17" ht="21">
      <c r="A14" s="52">
        <v>7</v>
      </c>
      <c r="B14" s="53" t="s">
        <v>2307</v>
      </c>
      <c r="C14" s="54">
        <v>61174</v>
      </c>
    </row>
    <row r="15" spans="1:17" ht="21">
      <c r="A15" s="52">
        <v>8</v>
      </c>
      <c r="B15" s="53" t="s">
        <v>178</v>
      </c>
      <c r="C15" s="54">
        <v>48461</v>
      </c>
    </row>
    <row r="16" spans="1:17" ht="21">
      <c r="A16" s="52">
        <v>6</v>
      </c>
      <c r="B16" s="53" t="s">
        <v>2306</v>
      </c>
      <c r="C16" s="54">
        <v>76040</v>
      </c>
    </row>
    <row r="17" spans="1:3" ht="21">
      <c r="A17" s="52">
        <v>10</v>
      </c>
      <c r="B17" s="53" t="s">
        <v>272</v>
      </c>
      <c r="C17" s="54">
        <v>31486</v>
      </c>
    </row>
    <row r="18" spans="1:3" ht="21">
      <c r="A18" s="52">
        <v>5</v>
      </c>
      <c r="B18" s="53" t="s">
        <v>2304</v>
      </c>
      <c r="C18" s="54">
        <v>90331</v>
      </c>
    </row>
    <row r="19" spans="1:3" ht="21">
      <c r="A19" s="52">
        <v>1</v>
      </c>
      <c r="B19" s="53" t="s">
        <v>2308</v>
      </c>
      <c r="C19" s="54">
        <v>415305</v>
      </c>
    </row>
    <row r="20" spans="1:3" ht="21">
      <c r="A20" s="52">
        <v>3</v>
      </c>
      <c r="B20" s="53" t="s">
        <v>2305</v>
      </c>
      <c r="C20" s="54">
        <v>150902</v>
      </c>
    </row>
    <row r="21" spans="1:3" ht="21">
      <c r="A21" s="52">
        <v>2</v>
      </c>
      <c r="B21" s="53" t="s">
        <v>2309</v>
      </c>
      <c r="C21" s="54">
        <v>308211</v>
      </c>
    </row>
    <row r="22" spans="1:3" ht="21">
      <c r="A22" s="52">
        <v>4</v>
      </c>
      <c r="B22" s="53" t="s">
        <v>2310</v>
      </c>
      <c r="C22" s="54">
        <v>130161</v>
      </c>
    </row>
    <row r="23" spans="1:3" ht="21">
      <c r="A23" s="52">
        <v>9</v>
      </c>
      <c r="B23" s="53" t="s">
        <v>250</v>
      </c>
      <c r="C23" s="54">
        <v>43173</v>
      </c>
    </row>
  </sheetData>
  <hyperlinks>
    <hyperlink ref="B19" r:id="rId1" display="https://www.newhampshire-demographics.com/hillsborough-county-demographics" xr:uid="{B5D7EB5E-431E-8B49-B6AE-8FCBFC5A83AB}"/>
    <hyperlink ref="B21" r:id="rId2" display="https://www.newhampshire-demographics.com/rockingham-county-demographics" xr:uid="{44B37779-CC46-BF42-9C6C-933C9575CF2C}"/>
    <hyperlink ref="B20" r:id="rId3" display="https://www.newhampshire-demographics.com/merrimack-county-demographics" xr:uid="{73D886C7-8CC2-9740-B2A4-22E150355000}"/>
    <hyperlink ref="B22" r:id="rId4" display="https://www.newhampshire-demographics.com/strafford-county-demographics" xr:uid="{6B2233B5-5A2C-D84A-B2C9-CDD9F30992FC}"/>
    <hyperlink ref="B18" r:id="rId5" display="https://www.newhampshire-demographics.com/grafton-county-demographics" xr:uid="{D7FD0370-57E8-A940-A2FE-C1D2991AC9D8}"/>
    <hyperlink ref="B16" r:id="rId6" display="https://www.newhampshire-demographics.com/cheshire-county-demographics" xr:uid="{C0DAF6CE-B7A9-C648-8511-8B108849D5D3}"/>
    <hyperlink ref="B14" r:id="rId7" display="https://www.newhampshire-demographics.com/belknap-county-demographics" xr:uid="{0DBD2449-3563-A549-8FAD-4A18FA9135EA}"/>
    <hyperlink ref="B15" r:id="rId8" display="https://www.newhampshire-demographics.com/carroll-county-demographics" xr:uid="{A7890034-F838-A749-B3BE-743B244BE6EA}"/>
    <hyperlink ref="B23" r:id="rId9" display="https://www.newhampshire-demographics.com/sullivan-county-demographics" xr:uid="{3D18A5D5-C802-1C4E-9A46-AFA5C6C297B9}"/>
    <hyperlink ref="B17" r:id="rId10" display="https://www.newhampshire-demographics.com/coos-county-demographics" xr:uid="{18317197-A9BF-7A4E-9E95-E4A08B511D75}"/>
  </hyperlinks>
  <pageMargins left="0.7" right="0.7" top="0.75" bottom="0.75" header="0.3" footer="0.3"/>
  <tableParts count="3">
    <tablePart r:id="rId11"/>
    <tablePart r:id="rId12"/>
    <tablePart r:id="rId1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A05C-C15E-3E41-B388-8B2DE6EE3778}">
  <dimension ref="A1:Q69"/>
  <sheetViews>
    <sheetView workbookViewId="0">
      <selection activeCell="D2" sqref="D2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4" max="4" width="17.33203125" style="1" customWidth="1"/>
    <col min="6" max="6" width="12.1640625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ht="21">
      <c r="A1" s="95" t="s">
        <v>64</v>
      </c>
      <c r="B1" s="95" t="s">
        <v>1674</v>
      </c>
      <c r="C1" s="95" t="s">
        <v>1746</v>
      </c>
      <c r="D1" s="95" t="s">
        <v>1686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t="s">
        <v>267</v>
      </c>
      <c r="Q1" t="s">
        <v>328</v>
      </c>
    </row>
    <row r="2" spans="1:17" ht="20">
      <c r="A2" s="78" t="s">
        <v>2311</v>
      </c>
      <c r="B2" s="78" t="s">
        <v>803</v>
      </c>
      <c r="C2" s="78">
        <v>9</v>
      </c>
      <c r="D2" s="106">
        <f t="shared" ref="D2:D34" si="0">(C2-MIN(C:C))/(MAX(C:C)-MIN(C:C))</f>
        <v>1.3254064211523084E-5</v>
      </c>
      <c r="F2" s="16" t="s">
        <v>2334</v>
      </c>
      <c r="G2" s="17">
        <v>193757</v>
      </c>
      <c r="H2" s="80">
        <f>Table68[[#This Row],[BIDEN VOTES]]/C37</f>
        <v>0.28534085771467532</v>
      </c>
      <c r="I2" s="18">
        <v>0.61</v>
      </c>
      <c r="J2" s="17">
        <v>116135</v>
      </c>
      <c r="K2" s="80">
        <f>Table68[[#This Row],[TRUMP VOTES]]/C37</f>
        <v>0.17102897191169258</v>
      </c>
      <c r="L2" s="18">
        <v>0.36599999999999999</v>
      </c>
      <c r="M2" s="80">
        <f>1-(Table68[[#This Row],[NbP]]+Table68[[#This Row],[NbP2]])</f>
        <v>0.54363017037363215</v>
      </c>
      <c r="O2" t="s">
        <v>1672</v>
      </c>
      <c r="P2" s="37">
        <f>CORREL(D:D,H:H)</f>
        <v>-7.5118865848016053E-2</v>
      </c>
      <c r="Q2">
        <v>0.1</v>
      </c>
    </row>
    <row r="3" spans="1:17" ht="20">
      <c r="A3" s="78" t="s">
        <v>2312</v>
      </c>
      <c r="B3" s="78" t="s">
        <v>803</v>
      </c>
      <c r="C3" s="78">
        <v>3</v>
      </c>
      <c r="D3" s="98">
        <f t="shared" si="0"/>
        <v>4.418021403841028E-6</v>
      </c>
      <c r="F3" s="16" t="s">
        <v>2335</v>
      </c>
      <c r="G3" s="19">
        <v>595</v>
      </c>
      <c r="H3" s="80">
        <f>Table68[[#This Row],[BIDEN VOTES]]/C38</f>
        <v>0.16774739216239076</v>
      </c>
      <c r="I3" s="18">
        <v>0.25600000000000001</v>
      </c>
      <c r="J3" s="17">
        <v>1698</v>
      </c>
      <c r="K3" s="80">
        <f>Table68[[#This Row],[TRUMP VOTES]]/C38</f>
        <v>0.47871440654073866</v>
      </c>
      <c r="L3" s="18">
        <v>0.73</v>
      </c>
      <c r="M3" s="80">
        <f>1-(Table68[[#This Row],[NbP]]+Table68[[#This Row],[NbP2]])</f>
        <v>0.35353820129687064</v>
      </c>
      <c r="O3" t="s">
        <v>1671</v>
      </c>
      <c r="P3" s="37">
        <f>CORREL(D:D,K:K)</f>
        <v>-0.2488386043927574</v>
      </c>
      <c r="Q3" s="1">
        <v>0.1</v>
      </c>
    </row>
    <row r="4" spans="1:17" ht="20">
      <c r="A4" s="78" t="s">
        <v>2313</v>
      </c>
      <c r="B4" s="78" t="s">
        <v>803</v>
      </c>
      <c r="C4" s="78">
        <v>18</v>
      </c>
      <c r="D4" s="98">
        <f t="shared" si="0"/>
        <v>2.6508128423046168E-5</v>
      </c>
      <c r="F4" s="16" t="s">
        <v>2336</v>
      </c>
      <c r="G4" s="17">
        <v>6381</v>
      </c>
      <c r="H4" s="80">
        <f>Table68[[#This Row],[BIDEN VOTES]]/C39</f>
        <v>9.8302316982992355E-2</v>
      </c>
      <c r="I4" s="18">
        <v>0.28399999999999997</v>
      </c>
      <c r="J4" s="17">
        <v>15656</v>
      </c>
      <c r="K4" s="80">
        <f>Table68[[#This Row],[TRUMP VOTES]]/C39</f>
        <v>0.24118807000246487</v>
      </c>
      <c r="L4" s="18">
        <v>0.69799999999999995</v>
      </c>
      <c r="M4" s="80">
        <f>1-(Table68[[#This Row],[NbP]]+Table68[[#This Row],[NbP2]])</f>
        <v>0.66050961301454281</v>
      </c>
      <c r="O4" t="s">
        <v>1679</v>
      </c>
      <c r="P4" s="37">
        <f>CORREL(D:D,M:M)</f>
        <v>0.24616679117101636</v>
      </c>
      <c r="Q4" s="1">
        <v>0.1</v>
      </c>
    </row>
    <row r="5" spans="1:17" ht="20">
      <c r="A5" s="78" t="s">
        <v>2314</v>
      </c>
      <c r="B5" s="78" t="s">
        <v>803</v>
      </c>
      <c r="C5" s="78">
        <v>12</v>
      </c>
      <c r="D5" s="98">
        <f t="shared" si="0"/>
        <v>1.7672085615364112E-5</v>
      </c>
      <c r="F5" s="16" t="s">
        <v>2337</v>
      </c>
      <c r="G5" s="17">
        <v>4745</v>
      </c>
      <c r="H5" s="80">
        <f>Table68[[#This Row],[BIDEN VOTES]]/C40</f>
        <v>0.17729701453499233</v>
      </c>
      <c r="I5" s="18">
        <v>0.53300000000000003</v>
      </c>
      <c r="J5" s="17">
        <v>3975</v>
      </c>
      <c r="K5" s="80">
        <f>Table68[[#This Row],[TRUMP VOTES]]/C40</f>
        <v>0.14852595000560476</v>
      </c>
      <c r="L5" s="18">
        <v>0.44600000000000001</v>
      </c>
      <c r="M5" s="80">
        <f>1-(Table68[[#This Row],[NbP]]+Table68[[#This Row],[NbP2]])</f>
        <v>0.67417703545940288</v>
      </c>
    </row>
    <row r="6" spans="1:17" ht="20">
      <c r="A6" s="78" t="s">
        <v>2183</v>
      </c>
      <c r="B6" s="78" t="s">
        <v>803</v>
      </c>
      <c r="C6" s="78">
        <v>35</v>
      </c>
      <c r="D6" s="98">
        <f t="shared" si="0"/>
        <v>5.1543583044811993E-5</v>
      </c>
      <c r="F6" s="16" t="s">
        <v>2233</v>
      </c>
      <c r="G6" s="17">
        <v>2611</v>
      </c>
      <c r="H6" s="80">
        <f>Table68[[#This Row],[BIDEN VOTES]]/C41</f>
        <v>0.21567817611101933</v>
      </c>
      <c r="I6" s="18">
        <v>0.434</v>
      </c>
      <c r="J6" s="17">
        <v>3271</v>
      </c>
      <c r="K6" s="80">
        <f>Table68[[#This Row],[TRUMP VOTES]]/C41</f>
        <v>0.27019659672889479</v>
      </c>
      <c r="L6" s="18">
        <v>0.54400000000000004</v>
      </c>
      <c r="M6" s="80">
        <f>1-(Table68[[#This Row],[NbP]]+Table68[[#This Row],[NbP2]])</f>
        <v>0.51412522716008591</v>
      </c>
    </row>
    <row r="7" spans="1:17" ht="20">
      <c r="A7" s="78" t="s">
        <v>317</v>
      </c>
      <c r="B7" s="78" t="s">
        <v>803</v>
      </c>
      <c r="C7" s="78">
        <v>11</v>
      </c>
      <c r="D7" s="98">
        <f t="shared" si="0"/>
        <v>1.6199411814083768E-5</v>
      </c>
      <c r="F7" s="16" t="s">
        <v>274</v>
      </c>
      <c r="G7" s="17">
        <v>4307</v>
      </c>
      <c r="H7" s="80">
        <f>Table68[[#This Row],[BIDEN VOTES]]/C42</f>
        <v>8.7006585592501309E-2</v>
      </c>
      <c r="I7" s="18">
        <v>0.28499999999999998</v>
      </c>
      <c r="J7" s="17">
        <v>10444</v>
      </c>
      <c r="K7" s="80">
        <f>Table68[[#This Row],[TRUMP VOTES]]/C42</f>
        <v>0.2109813744899196</v>
      </c>
      <c r="L7" s="18">
        <v>0.69199999999999995</v>
      </c>
      <c r="M7" s="80">
        <f>1-(Table68[[#This Row],[NbP]]+Table68[[#This Row],[NbP2]])</f>
        <v>0.7020120399175791</v>
      </c>
    </row>
    <row r="8" spans="1:17" ht="20">
      <c r="A8" s="78" t="s">
        <v>2315</v>
      </c>
      <c r="B8" s="78" t="s">
        <v>803</v>
      </c>
      <c r="C8" s="78">
        <v>19</v>
      </c>
      <c r="D8" s="98">
        <f t="shared" si="0"/>
        <v>2.7980802224326509E-5</v>
      </c>
      <c r="F8" s="16" t="s">
        <v>2338</v>
      </c>
      <c r="G8" s="19">
        <v>231</v>
      </c>
      <c r="H8" s="80">
        <f>Table68[[#This Row],[BIDEN VOTES]]/C43</f>
        <v>0.11578947368421053</v>
      </c>
      <c r="I8" s="18">
        <v>0.25600000000000001</v>
      </c>
      <c r="J8" s="19">
        <v>656</v>
      </c>
      <c r="K8" s="80">
        <f>Table68[[#This Row],[TRUMP VOTES]]/C43</f>
        <v>0.32882205513784463</v>
      </c>
      <c r="L8" s="18">
        <v>0.72799999999999998</v>
      </c>
      <c r="M8" s="80">
        <f>1-(Table68[[#This Row],[NbP]]+Table68[[#This Row],[NbP2]])</f>
        <v>0.55538847117794488</v>
      </c>
    </row>
    <row r="9" spans="1:17" ht="20">
      <c r="A9" s="78" t="s">
        <v>2316</v>
      </c>
      <c r="B9" s="78" t="s">
        <v>803</v>
      </c>
      <c r="C9" s="78">
        <v>16</v>
      </c>
      <c r="D9" s="98">
        <f t="shared" si="0"/>
        <v>2.3562780820485481E-5</v>
      </c>
      <c r="F9" s="16" t="s">
        <v>2339</v>
      </c>
      <c r="G9" s="17">
        <v>47957</v>
      </c>
      <c r="H9" s="80">
        <f>Table68[[#This Row],[BIDEN VOTES]]/C44</f>
        <v>0.22029343671909452</v>
      </c>
      <c r="I9" s="18">
        <v>0.57999999999999996</v>
      </c>
      <c r="J9" s="17">
        <v>32802</v>
      </c>
      <c r="K9" s="80">
        <f>Table68[[#This Row],[TRUMP VOTES]]/C44</f>
        <v>0.15067800970160222</v>
      </c>
      <c r="L9" s="18">
        <v>0.39700000000000002</v>
      </c>
      <c r="M9" s="80">
        <f>1-(Table68[[#This Row],[NbP]]+Table68[[#This Row],[NbP2]])</f>
        <v>0.62902855357930321</v>
      </c>
    </row>
    <row r="10" spans="1:17" ht="20">
      <c r="A10" s="78" t="s">
        <v>2317</v>
      </c>
      <c r="B10" s="78" t="s">
        <v>803</v>
      </c>
      <c r="C10" s="78">
        <v>20</v>
      </c>
      <c r="D10" s="98">
        <f t="shared" si="0"/>
        <v>2.9453476025606852E-5</v>
      </c>
      <c r="F10" s="16" t="s">
        <v>2340</v>
      </c>
      <c r="G10" s="17">
        <v>5424</v>
      </c>
      <c r="H10" s="80">
        <f>Table68[[#This Row],[BIDEN VOTES]]/C45</f>
        <v>9.3735418646850421E-2</v>
      </c>
      <c r="I10" s="18">
        <v>0.23400000000000001</v>
      </c>
      <c r="J10" s="17">
        <v>17454</v>
      </c>
      <c r="K10" s="80">
        <f>Table68[[#This Row],[TRUMP VOTES]]/C45</f>
        <v>0.30163311155275208</v>
      </c>
      <c r="L10" s="18">
        <v>0.752</v>
      </c>
      <c r="M10" s="80">
        <f>1-(Table68[[#This Row],[NbP]]+Table68[[#This Row],[NbP2]])</f>
        <v>0.6046314698003975</v>
      </c>
    </row>
    <row r="11" spans="1:17" ht="20">
      <c r="A11" s="78" t="s">
        <v>313</v>
      </c>
      <c r="B11" s="78" t="s">
        <v>803</v>
      </c>
      <c r="C11" s="78">
        <v>14</v>
      </c>
      <c r="D11" s="98">
        <f t="shared" si="0"/>
        <v>2.0617433217924796E-5</v>
      </c>
      <c r="F11" s="16" t="s">
        <v>278</v>
      </c>
      <c r="G11" s="17">
        <v>7590</v>
      </c>
      <c r="H11" s="80">
        <f>Table68[[#This Row],[BIDEN VOTES]]/C46</f>
        <v>0.27709831696542658</v>
      </c>
      <c r="I11" s="18">
        <v>0.52600000000000002</v>
      </c>
      <c r="J11" s="17">
        <v>6553</v>
      </c>
      <c r="K11" s="80">
        <f>Table68[[#This Row],[TRUMP VOTES]]/C46</f>
        <v>0.23923916614946517</v>
      </c>
      <c r="L11" s="18">
        <v>0.45400000000000001</v>
      </c>
      <c r="M11" s="80">
        <f>1-(Table68[[#This Row],[NbP]]+Table68[[#This Row],[NbP2]])</f>
        <v>0.48366251688510831</v>
      </c>
    </row>
    <row r="12" spans="1:17" ht="20">
      <c r="A12" s="78" t="s">
        <v>646</v>
      </c>
      <c r="B12" s="78" t="s">
        <v>803</v>
      </c>
      <c r="C12" s="78">
        <v>29</v>
      </c>
      <c r="D12" s="98">
        <f t="shared" si="0"/>
        <v>4.2707540237129937E-5</v>
      </c>
      <c r="F12" s="16" t="s">
        <v>419</v>
      </c>
      <c r="G12" s="17">
        <v>1234</v>
      </c>
      <c r="H12" s="80">
        <f>Table68[[#This Row],[BIDEN VOTES]]/C47</f>
        <v>0.28459409594095941</v>
      </c>
      <c r="I12" s="18">
        <v>0.56399999999999995</v>
      </c>
      <c r="J12" s="19">
        <v>917</v>
      </c>
      <c r="K12" s="80">
        <f>Table68[[#This Row],[TRUMP VOTES]]/C47</f>
        <v>0.21148523985239853</v>
      </c>
      <c r="L12" s="18">
        <v>0.41899999999999998</v>
      </c>
      <c r="M12" s="80">
        <f>1-(Table68[[#This Row],[NbP]]+Table68[[#This Row],[NbP2]])</f>
        <v>0.50392066420664205</v>
      </c>
    </row>
    <row r="13" spans="1:17" ht="20">
      <c r="A13" s="78" t="s">
        <v>2318</v>
      </c>
      <c r="B13" s="78" t="s">
        <v>803</v>
      </c>
      <c r="C13" s="78">
        <v>0</v>
      </c>
      <c r="D13" s="98">
        <f t="shared" si="0"/>
        <v>0</v>
      </c>
      <c r="F13" s="16" t="s">
        <v>2341</v>
      </c>
      <c r="G13" s="19">
        <v>179</v>
      </c>
      <c r="H13" s="80">
        <f>Table68[[#This Row],[BIDEN VOTES]]/C48</f>
        <v>0.41435185185185186</v>
      </c>
      <c r="I13" s="18">
        <v>0.35399999999999998</v>
      </c>
      <c r="J13" s="19">
        <v>319</v>
      </c>
      <c r="K13" s="80">
        <f>Table68[[#This Row],[TRUMP VOTES]]/C48</f>
        <v>0.73842592592592593</v>
      </c>
      <c r="L13" s="18">
        <v>0.63200000000000001</v>
      </c>
      <c r="M13" s="80">
        <f>1-(Table68[[#This Row],[NbP]]+Table68[[#This Row],[NbP2]])</f>
        <v>-0.15277777777777768</v>
      </c>
    </row>
    <row r="14" spans="1:17" ht="20">
      <c r="A14" s="78" t="s">
        <v>656</v>
      </c>
      <c r="B14" s="78" t="s">
        <v>803</v>
      </c>
      <c r="C14" s="78">
        <v>19</v>
      </c>
      <c r="D14" s="98">
        <f t="shared" si="0"/>
        <v>2.7980802224326509E-5</v>
      </c>
      <c r="F14" s="16" t="s">
        <v>429</v>
      </c>
      <c r="G14" s="19">
        <v>823</v>
      </c>
      <c r="H14" s="80">
        <f>Table68[[#This Row],[BIDEN VOTES]]/C49</f>
        <v>0.19437883797827113</v>
      </c>
      <c r="I14" s="18">
        <v>0.41699999999999998</v>
      </c>
      <c r="J14" s="17">
        <v>1120</v>
      </c>
      <c r="K14" s="80">
        <f>Table68[[#This Row],[TRUMP VOTES]]/C49</f>
        <v>0.26452527161076994</v>
      </c>
      <c r="L14" s="18">
        <v>0.56699999999999995</v>
      </c>
      <c r="M14" s="80">
        <f>1-(Table68[[#This Row],[NbP]]+Table68[[#This Row],[NbP2]])</f>
        <v>0.54109589041095896</v>
      </c>
    </row>
    <row r="15" spans="1:17" ht="20">
      <c r="A15" s="78" t="s">
        <v>2319</v>
      </c>
      <c r="B15" s="78" t="s">
        <v>803</v>
      </c>
      <c r="C15" s="78">
        <v>10</v>
      </c>
      <c r="D15" s="98">
        <f t="shared" si="0"/>
        <v>1.4726738012803426E-5</v>
      </c>
      <c r="F15" s="16" t="s">
        <v>2342</v>
      </c>
      <c r="G15" s="17">
        <v>4061</v>
      </c>
      <c r="H15" s="80">
        <f>Table68[[#This Row],[BIDEN VOTES]]/C50</f>
        <v>5.7718273426285195E-2</v>
      </c>
      <c r="I15" s="18">
        <v>0.19400000000000001</v>
      </c>
      <c r="J15" s="17">
        <v>16531</v>
      </c>
      <c r="K15" s="80">
        <f>Table68[[#This Row],[TRUMP VOTES]]/C50</f>
        <v>0.23495217385124859</v>
      </c>
      <c r="L15" s="18">
        <v>0.79</v>
      </c>
      <c r="M15" s="80">
        <f>1-(Table68[[#This Row],[NbP]]+Table68[[#This Row],[NbP2]])</f>
        <v>0.70732955272246623</v>
      </c>
    </row>
    <row r="16" spans="1:17" ht="20">
      <c r="A16" s="78" t="s">
        <v>122</v>
      </c>
      <c r="B16" s="78" t="s">
        <v>803</v>
      </c>
      <c r="C16" s="78">
        <v>18</v>
      </c>
      <c r="D16" s="98">
        <f t="shared" si="0"/>
        <v>2.6508128423046168E-5</v>
      </c>
      <c r="F16" s="16" t="s">
        <v>221</v>
      </c>
      <c r="G16" s="17">
        <v>3194</v>
      </c>
      <c r="H16" s="80">
        <f>Table68[[#This Row],[BIDEN VOTES]]/C51</f>
        <v>0.16262729124236253</v>
      </c>
      <c r="I16" s="18">
        <v>0.31</v>
      </c>
      <c r="J16" s="17">
        <v>6942</v>
      </c>
      <c r="K16" s="80">
        <f>Table68[[#This Row],[TRUMP VOTES]]/C51</f>
        <v>0.35346232179226067</v>
      </c>
      <c r="L16" s="18">
        <v>0.67400000000000004</v>
      </c>
      <c r="M16" s="80">
        <f>1-(Table68[[#This Row],[NbP]]+Table68[[#This Row],[NbP2]])</f>
        <v>0.4839103869653768</v>
      </c>
    </row>
    <row r="17" spans="1:13" ht="20">
      <c r="A17" s="78" t="s">
        <v>2320</v>
      </c>
      <c r="B17" s="78" t="s">
        <v>803</v>
      </c>
      <c r="C17" s="78">
        <v>10</v>
      </c>
      <c r="D17" s="98">
        <f t="shared" si="0"/>
        <v>1.4726738012803426E-5</v>
      </c>
      <c r="F17" s="16" t="s">
        <v>2343</v>
      </c>
      <c r="G17" s="17">
        <v>7554</v>
      </c>
      <c r="H17" s="80">
        <f>Table68[[#This Row],[BIDEN VOTES]]/C52</f>
        <v>0.39808178752107926</v>
      </c>
      <c r="I17" s="18">
        <v>0.61399999999999999</v>
      </c>
      <c r="J17" s="17">
        <v>4278</v>
      </c>
      <c r="K17" s="80">
        <f>Table68[[#This Row],[TRUMP VOTES]]/C52</f>
        <v>0.22544266441821248</v>
      </c>
      <c r="L17" s="18">
        <v>0.34799999999999998</v>
      </c>
      <c r="M17" s="80">
        <f>1-(Table68[[#This Row],[NbP]]+Table68[[#This Row],[NbP2]])</f>
        <v>0.37647554806070826</v>
      </c>
    </row>
    <row r="18" spans="1:13" ht="20">
      <c r="A18" s="78" t="s">
        <v>2321</v>
      </c>
      <c r="B18" s="78" t="s">
        <v>803</v>
      </c>
      <c r="C18" s="78">
        <v>12</v>
      </c>
      <c r="D18" s="98">
        <f t="shared" si="0"/>
        <v>1.7672085615364112E-5</v>
      </c>
      <c r="F18" s="16" t="s">
        <v>2344</v>
      </c>
      <c r="G18" s="17">
        <v>3563</v>
      </c>
      <c r="H18" s="80">
        <f>Table68[[#This Row],[BIDEN VOTES]]/C53</f>
        <v>0.14832237115977021</v>
      </c>
      <c r="I18" s="18">
        <v>0.44</v>
      </c>
      <c r="J18" s="17">
        <v>4408</v>
      </c>
      <c r="K18" s="80">
        <f>Table68[[#This Row],[TRUMP VOTES]]/C53</f>
        <v>0.18349845974523354</v>
      </c>
      <c r="L18" s="18">
        <v>0.54400000000000004</v>
      </c>
      <c r="M18" s="80">
        <f>1-(Table68[[#This Row],[NbP]]+Table68[[#This Row],[NbP2]])</f>
        <v>0.66817916909499631</v>
      </c>
    </row>
    <row r="19" spans="1:13" ht="20">
      <c r="A19" s="78" t="s">
        <v>2322</v>
      </c>
      <c r="B19" s="78" t="s">
        <v>803</v>
      </c>
      <c r="C19" s="78">
        <v>7</v>
      </c>
      <c r="D19" s="98">
        <f t="shared" si="0"/>
        <v>1.0308716608962398E-5</v>
      </c>
      <c r="F19" s="16" t="s">
        <v>2345</v>
      </c>
      <c r="G19" s="17">
        <v>18029</v>
      </c>
      <c r="H19" s="80">
        <f>Table68[[#This Row],[BIDEN VOTES]]/C54</f>
        <v>0.25055589526933125</v>
      </c>
      <c r="I19" s="18">
        <v>0.68100000000000005</v>
      </c>
      <c r="J19" s="17">
        <v>7801</v>
      </c>
      <c r="K19" s="80">
        <f>Table68[[#This Row],[TRUMP VOTES]]/C54</f>
        <v>0.10841347490132859</v>
      </c>
      <c r="L19" s="18">
        <v>0.29499999999999998</v>
      </c>
      <c r="M19" s="80">
        <f>1-(Table68[[#This Row],[NbP]]+Table68[[#This Row],[NbP2]])</f>
        <v>0.64103062982934023</v>
      </c>
    </row>
    <row r="20" spans="1:13" ht="20">
      <c r="A20" s="78" t="s">
        <v>2323</v>
      </c>
      <c r="B20" s="78" t="s">
        <v>803</v>
      </c>
      <c r="C20" s="78">
        <v>22</v>
      </c>
      <c r="D20" s="98">
        <f t="shared" si="0"/>
        <v>3.2398823628167537E-5</v>
      </c>
      <c r="F20" s="16" t="s">
        <v>2346</v>
      </c>
      <c r="G20" s="17">
        <v>1745</v>
      </c>
      <c r="H20" s="80">
        <f>Table68[[#This Row],[BIDEN VOTES]]/C55</f>
        <v>0.38777777777777778</v>
      </c>
      <c r="I20" s="18">
        <v>0.65</v>
      </c>
      <c r="J20" s="19">
        <v>903</v>
      </c>
      <c r="K20" s="80">
        <f>Table68[[#This Row],[TRUMP VOTES]]/C55</f>
        <v>0.20066666666666666</v>
      </c>
      <c r="L20" s="18">
        <v>0.33600000000000002</v>
      </c>
      <c r="M20" s="80">
        <f>1-(Table68[[#This Row],[NbP]]+Table68[[#This Row],[NbP2]])</f>
        <v>0.41155555555555556</v>
      </c>
    </row>
    <row r="21" spans="1:13" ht="20">
      <c r="A21" s="78" t="s">
        <v>1128</v>
      </c>
      <c r="B21" s="78" t="s">
        <v>803</v>
      </c>
      <c r="C21" s="78">
        <v>13</v>
      </c>
      <c r="D21" s="98">
        <f t="shared" si="0"/>
        <v>1.9144759416644453E-5</v>
      </c>
      <c r="F21" s="16" t="s">
        <v>1178</v>
      </c>
      <c r="G21" s="17">
        <v>8485</v>
      </c>
      <c r="H21" s="80">
        <f>Table68[[#This Row],[BIDEN VOTES]]/C56</f>
        <v>0.12701335249386264</v>
      </c>
      <c r="I21" s="18">
        <v>0.36</v>
      </c>
      <c r="J21" s="17">
        <v>14521</v>
      </c>
      <c r="K21" s="80">
        <f>Table68[[#This Row],[TRUMP VOTES]]/C56</f>
        <v>0.21736722351954973</v>
      </c>
      <c r="L21" s="18">
        <v>0.61599999999999999</v>
      </c>
      <c r="M21" s="80">
        <f>1-(Table68[[#This Row],[NbP]]+Table68[[#This Row],[NbP2]])</f>
        <v>0.65561942398658757</v>
      </c>
    </row>
    <row r="22" spans="1:13" ht="20">
      <c r="A22" s="78" t="s">
        <v>2324</v>
      </c>
      <c r="B22" s="78" t="s">
        <v>803</v>
      </c>
      <c r="C22" s="78">
        <v>15</v>
      </c>
      <c r="D22" s="98">
        <f t="shared" si="0"/>
        <v>2.209010701920514E-5</v>
      </c>
      <c r="F22" s="16" t="s">
        <v>2347</v>
      </c>
      <c r="G22" s="17">
        <v>1170</v>
      </c>
      <c r="H22" s="80">
        <f>Table68[[#This Row],[BIDEN VOTES]]/C57</f>
        <v>0.14156079854809436</v>
      </c>
      <c r="I22" s="18">
        <v>0.30199999999999999</v>
      </c>
      <c r="J22" s="17">
        <v>2634</v>
      </c>
      <c r="K22" s="80">
        <f>Table68[[#This Row],[TRUMP VOTES]]/C57</f>
        <v>0.31869328493647914</v>
      </c>
      <c r="L22" s="18">
        <v>0.68</v>
      </c>
      <c r="M22" s="80">
        <f>1-(Table68[[#This Row],[NbP]]+Table68[[#This Row],[NbP2]])</f>
        <v>0.53974591651542647</v>
      </c>
    </row>
    <row r="23" spans="1:13" ht="20">
      <c r="A23" s="78" t="s">
        <v>2325</v>
      </c>
      <c r="B23" s="78" t="s">
        <v>803</v>
      </c>
      <c r="C23" s="78">
        <v>19</v>
      </c>
      <c r="D23" s="98">
        <f t="shared" si="0"/>
        <v>2.7980802224326509E-5</v>
      </c>
      <c r="F23" s="16" t="s">
        <v>2348</v>
      </c>
      <c r="G23" s="17">
        <v>10990</v>
      </c>
      <c r="H23" s="80">
        <f>Table68[[#This Row],[BIDEN VOTES]]/C58</f>
        <v>0.28206970894717931</v>
      </c>
      <c r="I23" s="18">
        <v>0.66100000000000003</v>
      </c>
      <c r="J23" s="17">
        <v>5408</v>
      </c>
      <c r="K23" s="80">
        <f>Table68[[#This Row],[TRUMP VOTES]]/C58</f>
        <v>0.1388019095528977</v>
      </c>
      <c r="L23" s="18">
        <v>0.32500000000000001</v>
      </c>
      <c r="M23" s="80">
        <f>1-(Table68[[#This Row],[NbP]]+Table68[[#This Row],[NbP2]])</f>
        <v>0.57912838149992296</v>
      </c>
    </row>
    <row r="24" spans="1:13" ht="20">
      <c r="A24" s="78" t="s">
        <v>2326</v>
      </c>
      <c r="B24" s="78" t="s">
        <v>803</v>
      </c>
      <c r="C24" s="78">
        <v>7</v>
      </c>
      <c r="D24" s="98">
        <f t="shared" si="0"/>
        <v>1.0308716608962398E-5</v>
      </c>
      <c r="F24" s="16" t="s">
        <v>2349</v>
      </c>
      <c r="G24" s="17">
        <v>1802</v>
      </c>
      <c r="H24" s="80">
        <f>Table68[[#This Row],[BIDEN VOTES]]/C59</f>
        <v>9.6245259840837469E-2</v>
      </c>
      <c r="I24" s="18">
        <v>0.27300000000000002</v>
      </c>
      <c r="J24" s="17">
        <v>4634</v>
      </c>
      <c r="K24" s="80">
        <f>Table68[[#This Row],[TRUMP VOTES]]/C59</f>
        <v>0.24750307108903488</v>
      </c>
      <c r="L24" s="18">
        <v>0.70099999999999996</v>
      </c>
      <c r="M24" s="80">
        <f>1-(Table68[[#This Row],[NbP]]+Table68[[#This Row],[NbP2]])</f>
        <v>0.65625166907012766</v>
      </c>
    </row>
    <row r="25" spans="1:13" ht="20">
      <c r="A25" s="78" t="s">
        <v>2327</v>
      </c>
      <c r="B25" s="78" t="s">
        <v>803</v>
      </c>
      <c r="C25" s="78">
        <v>14</v>
      </c>
      <c r="D25" s="98">
        <f t="shared" si="0"/>
        <v>2.0617433217924796E-5</v>
      </c>
      <c r="F25" s="16" t="s">
        <v>1188</v>
      </c>
      <c r="G25" s="17">
        <v>18083</v>
      </c>
      <c r="H25" s="80">
        <f>Table68[[#This Row],[BIDEN VOTES]]/C60</f>
        <v>0.14396376027004648</v>
      </c>
      <c r="I25" s="18">
        <v>0.34599999999999997</v>
      </c>
      <c r="J25" s="17">
        <v>32874</v>
      </c>
      <c r="K25" s="80">
        <f>Table68[[#This Row],[TRUMP VOTES]]/C60</f>
        <v>0.26171899878988597</v>
      </c>
      <c r="L25" s="18">
        <v>0.629</v>
      </c>
      <c r="M25" s="80">
        <f>1-(Table68[[#This Row],[NbP]]+Table68[[#This Row],[NbP2]])</f>
        <v>0.59431724094006755</v>
      </c>
    </row>
    <row r="26" spans="1:13" ht="20">
      <c r="A26" s="78" t="s">
        <v>1139</v>
      </c>
      <c r="B26" s="78" t="s">
        <v>803</v>
      </c>
      <c r="C26" s="78">
        <v>26</v>
      </c>
      <c r="D26" s="98">
        <f t="shared" si="0"/>
        <v>3.8289518833288905E-5</v>
      </c>
      <c r="F26" s="16" t="s">
        <v>1189</v>
      </c>
      <c r="G26" s="17">
        <v>7888</v>
      </c>
      <c r="H26" s="80">
        <f>Table68[[#This Row],[BIDEN VOTES]]/C61</f>
        <v>0.28635736586074201</v>
      </c>
      <c r="I26" s="18">
        <v>0.68400000000000005</v>
      </c>
      <c r="J26" s="17">
        <v>3421</v>
      </c>
      <c r="K26" s="80">
        <f>Table68[[#This Row],[TRUMP VOTES]]/C61</f>
        <v>0.12419226021926959</v>
      </c>
      <c r="L26" s="18">
        <v>0.29699999999999999</v>
      </c>
      <c r="M26" s="80">
        <f>1-(Table68[[#This Row],[NbP]]+Table68[[#This Row],[NbP2]])</f>
        <v>0.58945037391998834</v>
      </c>
    </row>
    <row r="27" spans="1:13" ht="20">
      <c r="A27" s="78" t="s">
        <v>2328</v>
      </c>
      <c r="B27" s="78" t="s">
        <v>803</v>
      </c>
      <c r="C27" s="78">
        <v>6</v>
      </c>
      <c r="D27" s="98">
        <f t="shared" si="0"/>
        <v>8.8360428076820561E-6</v>
      </c>
      <c r="F27" s="16" t="s">
        <v>2350</v>
      </c>
      <c r="G27" s="17">
        <v>40588</v>
      </c>
      <c r="H27" s="80">
        <f>Table68[[#This Row],[BIDEN VOTES]]/C62</f>
        <v>0.28000607089145524</v>
      </c>
      <c r="I27" s="18">
        <v>0.53</v>
      </c>
      <c r="J27" s="17">
        <v>34174</v>
      </c>
      <c r="K27" s="80">
        <f>Table68[[#This Row],[TRUMP VOTES]]/C62</f>
        <v>0.23575755067124743</v>
      </c>
      <c r="L27" s="18">
        <v>0.44600000000000001</v>
      </c>
      <c r="M27" s="80">
        <f>1-(Table68[[#This Row],[NbP]]+Table68[[#This Row],[NbP2]])</f>
        <v>0.48423637843729739</v>
      </c>
    </row>
    <row r="28" spans="1:13" ht="20">
      <c r="A28" s="78" t="s">
        <v>2329</v>
      </c>
      <c r="B28" s="78" t="s">
        <v>803</v>
      </c>
      <c r="C28" s="78">
        <v>10</v>
      </c>
      <c r="D28" s="98">
        <f t="shared" si="0"/>
        <v>1.4726738012803426E-5</v>
      </c>
      <c r="F28" s="16" t="s">
        <v>2351</v>
      </c>
      <c r="G28" s="17">
        <v>62530</v>
      </c>
      <c r="H28" s="80">
        <f>Table68[[#This Row],[BIDEN VOTES]]/C63</f>
        <v>0.41598201158868808</v>
      </c>
      <c r="I28" s="18">
        <v>0.76</v>
      </c>
      <c r="J28" s="17">
        <v>18329</v>
      </c>
      <c r="K28" s="80">
        <f>Table68[[#This Row],[TRUMP VOTES]]/C63</f>
        <v>0.12193402031679296</v>
      </c>
      <c r="L28" s="18">
        <v>0.223</v>
      </c>
      <c r="M28" s="80">
        <f>1-(Table68[[#This Row],[NbP]]+Table68[[#This Row],[NbP2]])</f>
        <v>0.46208396809451902</v>
      </c>
    </row>
    <row r="29" spans="1:13" ht="20">
      <c r="A29" s="78" t="s">
        <v>1082</v>
      </c>
      <c r="B29" s="78" t="s">
        <v>803</v>
      </c>
      <c r="C29" s="78">
        <v>23</v>
      </c>
      <c r="D29" s="98">
        <f t="shared" si="0"/>
        <v>3.387149742944788E-5</v>
      </c>
      <c r="F29" s="16" t="s">
        <v>1029</v>
      </c>
      <c r="G29" s="17">
        <v>2265</v>
      </c>
      <c r="H29" s="80">
        <f>Table68[[#This Row],[BIDEN VOTES]]/C64</f>
        <v>0.20613396432471787</v>
      </c>
      <c r="I29" s="18">
        <v>0.38100000000000001</v>
      </c>
      <c r="J29" s="17">
        <v>3542</v>
      </c>
      <c r="K29" s="80">
        <f>Table68[[#This Row],[TRUMP VOTES]]/C64</f>
        <v>0.32235165635238444</v>
      </c>
      <c r="L29" s="18">
        <v>0.59599999999999997</v>
      </c>
      <c r="M29" s="80">
        <f>1-(Table68[[#This Row],[NbP]]+Table68[[#This Row],[NbP2]])</f>
        <v>0.47151437932289775</v>
      </c>
    </row>
    <row r="30" spans="1:13" ht="20">
      <c r="A30" s="78" t="s">
        <v>2330</v>
      </c>
      <c r="B30" s="78" t="s">
        <v>803</v>
      </c>
      <c r="C30" s="78">
        <v>13</v>
      </c>
      <c r="D30" s="98">
        <f t="shared" si="0"/>
        <v>1.9144759416644453E-5</v>
      </c>
      <c r="F30" s="16" t="s">
        <v>2352</v>
      </c>
      <c r="G30" s="17">
        <v>3722</v>
      </c>
      <c r="H30" s="80">
        <f>Table68[[#This Row],[BIDEN VOTES]]/C65</f>
        <v>0.22256772110267298</v>
      </c>
      <c r="I30" s="18">
        <v>0.52</v>
      </c>
      <c r="J30" s="17">
        <v>3255</v>
      </c>
      <c r="K30" s="80">
        <f>Table68[[#This Row],[TRUMP VOTES]]/C65</f>
        <v>0.19464210966931772</v>
      </c>
      <c r="L30" s="18">
        <v>0.45500000000000002</v>
      </c>
      <c r="M30" s="80">
        <f>1-(Table68[[#This Row],[NbP]]+Table68[[#This Row],[NbP2]])</f>
        <v>0.5827901692280093</v>
      </c>
    </row>
    <row r="31" spans="1:13" ht="20">
      <c r="A31" s="78" t="s">
        <v>2331</v>
      </c>
      <c r="B31" s="78" t="s">
        <v>803</v>
      </c>
      <c r="C31" s="78">
        <v>15</v>
      </c>
      <c r="D31" s="98">
        <f t="shared" si="0"/>
        <v>2.209010701920514E-5</v>
      </c>
      <c r="F31" s="16" t="s">
        <v>2353</v>
      </c>
      <c r="G31" s="17">
        <v>13121</v>
      </c>
      <c r="H31" s="80">
        <f>Table68[[#This Row],[BIDEN VOTES]]/C66</f>
        <v>0.40053115174455872</v>
      </c>
      <c r="I31" s="18">
        <v>0.76400000000000001</v>
      </c>
      <c r="J31" s="17">
        <v>3715</v>
      </c>
      <c r="K31" s="80">
        <f>Table68[[#This Row],[TRUMP VOTES]]/C66</f>
        <v>0.11340395005952562</v>
      </c>
      <c r="L31" s="18">
        <v>0.216</v>
      </c>
      <c r="M31" s="80">
        <f>1-(Table68[[#This Row],[NbP]]+Table68[[#This Row],[NbP2]])</f>
        <v>0.4860648981959157</v>
      </c>
    </row>
    <row r="32" spans="1:13" ht="20">
      <c r="A32" s="78" t="s">
        <v>2332</v>
      </c>
      <c r="B32" s="78" t="s">
        <v>803</v>
      </c>
      <c r="C32" s="78">
        <v>14</v>
      </c>
      <c r="D32" s="98">
        <f t="shared" si="0"/>
        <v>2.0617433217924796E-5</v>
      </c>
      <c r="F32" s="16" t="s">
        <v>2354</v>
      </c>
      <c r="G32" s="17">
        <v>2344</v>
      </c>
      <c r="H32" s="80">
        <f>Table68[[#This Row],[BIDEN VOTES]]/C67</f>
        <v>0.15145053951024101</v>
      </c>
      <c r="I32" s="18">
        <v>0.32200000000000001</v>
      </c>
      <c r="J32" s="17">
        <v>4772</v>
      </c>
      <c r="K32" s="80">
        <f>Table68[[#This Row],[TRUMP VOTES]]/C67</f>
        <v>0.30832848743296504</v>
      </c>
      <c r="L32" s="18">
        <v>0.65500000000000003</v>
      </c>
      <c r="M32" s="80">
        <f>1-(Table68[[#This Row],[NbP]]+Table68[[#This Row],[NbP2]])</f>
        <v>0.54022097305679395</v>
      </c>
    </row>
    <row r="33" spans="1:13" ht="20">
      <c r="A33" s="78" t="s">
        <v>157</v>
      </c>
      <c r="B33" s="78" t="s">
        <v>803</v>
      </c>
      <c r="C33" s="78">
        <v>21</v>
      </c>
      <c r="D33" s="98">
        <f t="shared" si="0"/>
        <v>3.0926149826887193E-5</v>
      </c>
      <c r="F33" s="16" t="s">
        <v>255</v>
      </c>
      <c r="G33" s="19">
        <v>383</v>
      </c>
      <c r="H33" s="80">
        <f>Table68[[#This Row],[BIDEN VOTES]]/C68</f>
        <v>9.3278129566488066E-2</v>
      </c>
      <c r="I33" s="18">
        <v>0.214</v>
      </c>
      <c r="J33" s="17">
        <v>1388</v>
      </c>
      <c r="K33" s="80">
        <f>Table68[[#This Row],[TRUMP VOTES]]/C68</f>
        <v>0.33804188991719436</v>
      </c>
      <c r="L33" s="18">
        <v>0.77600000000000002</v>
      </c>
      <c r="M33" s="80">
        <f>1-(Table68[[#This Row],[NbP]]+Table68[[#This Row],[NbP2]])</f>
        <v>0.56867998051631763</v>
      </c>
    </row>
    <row r="34" spans="1:13" ht="20">
      <c r="A34" s="78" t="s">
        <v>2333</v>
      </c>
      <c r="B34" s="78" t="s">
        <v>803</v>
      </c>
      <c r="C34" s="78">
        <v>10</v>
      </c>
      <c r="D34" s="98">
        <f t="shared" si="0"/>
        <v>1.4726738012803426E-5</v>
      </c>
      <c r="F34" s="16" t="s">
        <v>2355</v>
      </c>
      <c r="G34" s="17">
        <v>14263</v>
      </c>
      <c r="H34" s="80">
        <f>Table68[[#This Row],[BIDEN VOTES]]/C69</f>
        <v>0.1864005854831543</v>
      </c>
      <c r="I34" s="18">
        <v>0.442</v>
      </c>
      <c r="J34" s="17">
        <v>17364</v>
      </c>
      <c r="K34" s="80">
        <f>Table68[[#This Row],[TRUMP VOTES]]/C69</f>
        <v>0.2269269975691994</v>
      </c>
      <c r="L34" s="18">
        <v>0.53800000000000003</v>
      </c>
      <c r="M34" s="80">
        <f>1-(Table68[[#This Row],[NbP]]+Table68[[#This Row],[NbP2]])</f>
        <v>0.58667241694764627</v>
      </c>
    </row>
    <row r="36" spans="1:13" ht="21">
      <c r="A36" s="77" t="s">
        <v>1670</v>
      </c>
      <c r="B36" s="77" t="s">
        <v>69</v>
      </c>
      <c r="C36" s="77" t="s">
        <v>54</v>
      </c>
      <c r="D36" s="77"/>
    </row>
    <row r="37" spans="1:13" ht="21">
      <c r="A37" s="52">
        <v>1</v>
      </c>
      <c r="B37" s="53" t="s">
        <v>2334</v>
      </c>
      <c r="C37" s="54">
        <v>679037</v>
      </c>
      <c r="D37" s="54"/>
    </row>
    <row r="38" spans="1:13" ht="21">
      <c r="A38" s="52">
        <v>31</v>
      </c>
      <c r="B38" s="53" t="s">
        <v>2335</v>
      </c>
      <c r="C38" s="54">
        <v>3547</v>
      </c>
      <c r="D38" s="54"/>
    </row>
    <row r="39" spans="1:13" ht="21">
      <c r="A39" s="52">
        <v>10</v>
      </c>
      <c r="B39" s="53" t="s">
        <v>2336</v>
      </c>
      <c r="C39" s="54">
        <v>64912</v>
      </c>
      <c r="D39" s="54"/>
    </row>
    <row r="40" spans="1:13" ht="21">
      <c r="A40" s="52">
        <v>17</v>
      </c>
      <c r="B40" s="53" t="s">
        <v>2337</v>
      </c>
      <c r="C40" s="54">
        <v>26763</v>
      </c>
      <c r="D40" s="54"/>
    </row>
    <row r="41" spans="1:13" ht="21">
      <c r="A41" s="52">
        <v>24</v>
      </c>
      <c r="B41" s="53" t="s">
        <v>2233</v>
      </c>
      <c r="C41" s="54">
        <v>12106</v>
      </c>
      <c r="D41" s="54"/>
    </row>
    <row r="42" spans="1:13" ht="21">
      <c r="A42" s="52">
        <v>12</v>
      </c>
      <c r="B42" s="53" t="s">
        <v>274</v>
      </c>
      <c r="C42" s="54">
        <v>49502</v>
      </c>
      <c r="D42" s="54"/>
    </row>
    <row r="43" spans="1:13" ht="21">
      <c r="A43" s="52">
        <v>32</v>
      </c>
      <c r="B43" s="53" t="s">
        <v>2338</v>
      </c>
      <c r="C43" s="54">
        <v>1995</v>
      </c>
      <c r="D43" s="54"/>
    </row>
    <row r="44" spans="1:13" ht="21">
      <c r="A44" s="52">
        <v>2</v>
      </c>
      <c r="B44" s="53" t="s">
        <v>2339</v>
      </c>
      <c r="C44" s="54">
        <v>217696</v>
      </c>
      <c r="D44" s="54"/>
    </row>
    <row r="45" spans="1:13" ht="21">
      <c r="A45" s="52">
        <v>11</v>
      </c>
      <c r="B45" s="53" t="s">
        <v>2340</v>
      </c>
      <c r="C45" s="54">
        <v>57865</v>
      </c>
      <c r="D45" s="54"/>
    </row>
    <row r="46" spans="1:13" ht="21">
      <c r="A46" s="52">
        <v>16</v>
      </c>
      <c r="B46" s="53" t="s">
        <v>278</v>
      </c>
      <c r="C46" s="54">
        <v>27391</v>
      </c>
      <c r="D46" s="54"/>
    </row>
    <row r="47" spans="1:13" ht="21">
      <c r="A47" s="52">
        <v>28</v>
      </c>
      <c r="B47" s="53" t="s">
        <v>419</v>
      </c>
      <c r="C47" s="54">
        <v>4336</v>
      </c>
      <c r="D47" s="54"/>
    </row>
    <row r="48" spans="1:13" ht="21">
      <c r="A48" s="52">
        <v>33</v>
      </c>
      <c r="B48" s="53" t="s">
        <v>2341</v>
      </c>
      <c r="C48" s="52">
        <v>432</v>
      </c>
      <c r="D48" s="52"/>
    </row>
    <row r="49" spans="1:4" ht="21">
      <c r="A49" s="52">
        <v>29</v>
      </c>
      <c r="B49" s="53" t="s">
        <v>429</v>
      </c>
      <c r="C49" s="54">
        <v>4234</v>
      </c>
      <c r="D49" s="54"/>
    </row>
    <row r="50" spans="1:4" ht="21">
      <c r="A50" s="52">
        <v>8</v>
      </c>
      <c r="B50" s="53" t="s">
        <v>2342</v>
      </c>
      <c r="C50" s="54">
        <v>70359</v>
      </c>
      <c r="D50" s="54"/>
    </row>
    <row r="51" spans="1:4" ht="21">
      <c r="A51" s="52">
        <v>19</v>
      </c>
      <c r="B51" s="53" t="s">
        <v>221</v>
      </c>
      <c r="C51" s="54">
        <v>19640</v>
      </c>
      <c r="D51" s="54"/>
    </row>
    <row r="52" spans="1:4" ht="21">
      <c r="A52" s="52">
        <v>20</v>
      </c>
      <c r="B52" s="53" t="s">
        <v>2343</v>
      </c>
      <c r="C52" s="54">
        <v>18976</v>
      </c>
      <c r="D52" s="54"/>
    </row>
    <row r="53" spans="1:4" ht="21">
      <c r="A53" s="52">
        <v>18</v>
      </c>
      <c r="B53" s="53" t="s">
        <v>2344</v>
      </c>
      <c r="C53" s="54">
        <v>24022</v>
      </c>
      <c r="D53" s="54"/>
    </row>
    <row r="54" spans="1:4" ht="21">
      <c r="A54" s="52">
        <v>7</v>
      </c>
      <c r="B54" s="53" t="s">
        <v>2345</v>
      </c>
      <c r="C54" s="54">
        <v>71956</v>
      </c>
      <c r="D54" s="54"/>
    </row>
    <row r="55" spans="1:4" ht="21">
      <c r="A55" s="52">
        <v>27</v>
      </c>
      <c r="B55" s="53" t="s">
        <v>2346</v>
      </c>
      <c r="C55" s="54">
        <v>4500</v>
      </c>
      <c r="D55" s="54"/>
    </row>
    <row r="56" spans="1:4" ht="21">
      <c r="A56" s="52">
        <v>9</v>
      </c>
      <c r="B56" s="53" t="s">
        <v>1178</v>
      </c>
      <c r="C56" s="54">
        <v>66804</v>
      </c>
      <c r="D56" s="54"/>
    </row>
    <row r="57" spans="1:4" ht="21">
      <c r="A57" s="52">
        <v>26</v>
      </c>
      <c r="B57" s="53" t="s">
        <v>2347</v>
      </c>
      <c r="C57" s="54">
        <v>8265</v>
      </c>
      <c r="D57" s="54"/>
    </row>
    <row r="58" spans="1:4" ht="21">
      <c r="A58" s="52">
        <v>13</v>
      </c>
      <c r="B58" s="53" t="s">
        <v>2348</v>
      </c>
      <c r="C58" s="54">
        <v>38962</v>
      </c>
      <c r="D58" s="54"/>
    </row>
    <row r="59" spans="1:4" ht="21">
      <c r="A59" s="52">
        <v>21</v>
      </c>
      <c r="B59" s="53" t="s">
        <v>2349</v>
      </c>
      <c r="C59" s="54">
        <v>18723</v>
      </c>
      <c r="D59" s="54"/>
    </row>
    <row r="60" spans="1:4" ht="21">
      <c r="A60" s="52">
        <v>5</v>
      </c>
      <c r="B60" s="53" t="s">
        <v>1188</v>
      </c>
      <c r="C60" s="54">
        <v>125608</v>
      </c>
      <c r="D60" s="54"/>
    </row>
    <row r="61" spans="1:4" ht="21">
      <c r="A61" s="52">
        <v>15</v>
      </c>
      <c r="B61" s="53" t="s">
        <v>1189</v>
      </c>
      <c r="C61" s="54">
        <v>27546</v>
      </c>
      <c r="D61" s="54"/>
    </row>
    <row r="62" spans="1:4" ht="21">
      <c r="A62" s="52">
        <v>4</v>
      </c>
      <c r="B62" s="53" t="s">
        <v>2350</v>
      </c>
      <c r="C62" s="54">
        <v>144954</v>
      </c>
      <c r="D62" s="54"/>
    </row>
    <row r="63" spans="1:4" ht="21">
      <c r="A63" s="52">
        <v>3</v>
      </c>
      <c r="B63" s="53" t="s">
        <v>2351</v>
      </c>
      <c r="C63" s="54">
        <v>150319</v>
      </c>
      <c r="D63" s="54"/>
    </row>
    <row r="64" spans="1:4" ht="21">
      <c r="A64" s="52">
        <v>25</v>
      </c>
      <c r="B64" s="53" t="s">
        <v>1029</v>
      </c>
      <c r="C64" s="54">
        <v>10988</v>
      </c>
      <c r="D64" s="54"/>
    </row>
    <row r="65" spans="1:4" ht="21">
      <c r="A65" s="52">
        <v>22</v>
      </c>
      <c r="B65" s="53" t="s">
        <v>2352</v>
      </c>
      <c r="C65" s="54">
        <v>16723</v>
      </c>
      <c r="D65" s="54"/>
    </row>
    <row r="66" spans="1:4" ht="21">
      <c r="A66" s="52">
        <v>14</v>
      </c>
      <c r="B66" s="53" t="s">
        <v>2353</v>
      </c>
      <c r="C66" s="54">
        <v>32759</v>
      </c>
      <c r="D66" s="54"/>
    </row>
    <row r="67" spans="1:4" ht="21">
      <c r="A67" s="52">
        <v>23</v>
      </c>
      <c r="B67" s="53" t="s">
        <v>2354</v>
      </c>
      <c r="C67" s="54">
        <v>15477</v>
      </c>
      <c r="D67" s="54"/>
    </row>
    <row r="68" spans="1:4" ht="21">
      <c r="A68" s="52">
        <v>30</v>
      </c>
      <c r="B68" s="53" t="s">
        <v>255</v>
      </c>
      <c r="C68" s="54">
        <v>4106</v>
      </c>
      <c r="D68" s="54"/>
    </row>
    <row r="69" spans="1:4" ht="21">
      <c r="A69" s="52">
        <v>6</v>
      </c>
      <c r="B69" s="53" t="s">
        <v>2355</v>
      </c>
      <c r="C69" s="54">
        <v>76518</v>
      </c>
      <c r="D69" s="54"/>
    </row>
  </sheetData>
  <phoneticPr fontId="22" type="noConversion"/>
  <hyperlinks>
    <hyperlink ref="B37" r:id="rId1" display="https://www.newmexico-demographics.com/bernalillo-county-demographics" xr:uid="{A0D16291-96F6-8041-9C9A-D9DAE57FE2D0}"/>
    <hyperlink ref="B44" r:id="rId2" display="https://www.newmexico-demographics.com/dona-ana-county-demographics" xr:uid="{930A06A0-7864-0740-A33C-82A9F7101B6D}"/>
    <hyperlink ref="B63" r:id="rId3" display="https://www.newmexico-demographics.com/santa-fe-county-demographics" xr:uid="{E3485974-421C-674D-AACA-04B7B10DF266}"/>
    <hyperlink ref="B62" r:id="rId4" display="https://www.newmexico-demographics.com/sandoval-county-demographics" xr:uid="{0DF60757-C9EF-E444-98B1-940856AD015F}"/>
    <hyperlink ref="B60" r:id="rId5" display="https://www.newmexico-demographics.com/san-juan-county-demographics" xr:uid="{E98CB4A6-C1E1-4D4B-A8F6-1C1C75F059EB}"/>
    <hyperlink ref="B69" r:id="rId6" display="https://www.newmexico-demographics.com/valencia-county-demographics" xr:uid="{17D62131-A8D2-2D45-BA9B-E87061583138}"/>
    <hyperlink ref="B54" r:id="rId7" display="https://www.newmexico-demographics.com/mckinley-county-demographics" xr:uid="{EDAC9BAA-CF52-3549-931A-C53612AB92D7}"/>
    <hyperlink ref="B50" r:id="rId8" display="https://www.newmexico-demographics.com/lea-county-demographics" xr:uid="{07CA3673-EF9C-F841-951B-DFB8163F4D6A}"/>
    <hyperlink ref="B56" r:id="rId9" display="https://www.newmexico-demographics.com/otero-county-demographics" xr:uid="{33154ACE-AE54-B045-873E-B8488141FC3B}"/>
    <hyperlink ref="B39" r:id="rId10" display="https://www.newmexico-demographics.com/chaves-county-demographics" xr:uid="{357A2D6E-A95B-104F-A721-08A58E6C093A}"/>
    <hyperlink ref="B45" r:id="rId11" display="https://www.newmexico-demographics.com/eddy-county-demographics" xr:uid="{548F26F9-AC76-CB49-8889-2588372CD8B8}"/>
    <hyperlink ref="B42" r:id="rId12" display="https://www.newmexico-demographics.com/curry-county-demographics" xr:uid="{725ADFD5-7019-B340-B03A-0F07F342A27A}"/>
    <hyperlink ref="B58" r:id="rId13" display="https://www.newmexico-demographics.com/rio-arriba-county-demographics" xr:uid="{49456DCD-EB45-1348-9E8A-A3AA80870245}"/>
    <hyperlink ref="B66" r:id="rId14" display="https://www.newmexico-demographics.com/taos-county-demographics" xr:uid="{A7D95F14-2946-5140-AED6-35434D517F3A}"/>
    <hyperlink ref="B61" r:id="rId15" display="https://www.newmexico-demographics.com/san-miguel-county-demographics" xr:uid="{BCCB8F76-0239-0048-8F13-207FF36A79A6}"/>
    <hyperlink ref="B46" r:id="rId16" display="https://www.newmexico-demographics.com/grant-county-demographics" xr:uid="{6091F38D-390E-5949-B7BD-D65662F87AAC}"/>
    <hyperlink ref="B40" r:id="rId17" display="https://www.newmexico-demographics.com/cibola-county-demographics" xr:uid="{41108FFB-B746-4246-AA18-4E1739F07F8D}"/>
    <hyperlink ref="B53" r:id="rId18" display="https://www.newmexico-demographics.com/luna-county-demographics" xr:uid="{24D1BF24-0FF3-6542-99B4-F5C4B5D28B2A}"/>
    <hyperlink ref="B51" r:id="rId19" display="https://www.newmexico-demographics.com/lincoln-county-demographics" xr:uid="{D382EC32-9731-444B-A464-08A198552836}"/>
    <hyperlink ref="B52" r:id="rId20" display="https://www.newmexico-demographics.com/los-alamos-county-demographics" xr:uid="{B9D5AA68-8D47-EE41-B001-9576C0AB6592}"/>
    <hyperlink ref="B59" r:id="rId21" display="https://www.newmexico-demographics.com/roosevelt-county-demographics" xr:uid="{B9168ED7-FF91-244E-A024-1263A5180007}"/>
    <hyperlink ref="B65" r:id="rId22" display="https://www.newmexico-demographics.com/socorro-county-demographics" xr:uid="{190AC7C3-F8D2-C84D-B40D-A91155D665A1}"/>
    <hyperlink ref="B67" r:id="rId23" display="https://www.newmexico-demographics.com/torrance-county-demographics" xr:uid="{ECAE00E4-E6AD-1D49-AFDC-19E991817145}"/>
    <hyperlink ref="B41" r:id="rId24" display="https://www.newmexico-demographics.com/colfax-county-demographics" xr:uid="{683E0063-4F68-3A4E-AED4-BADEBCBFC60C}"/>
    <hyperlink ref="B64" r:id="rId25" display="https://www.newmexico-demographics.com/sierra-county-demographics" xr:uid="{E5278F6B-83E8-334F-84AA-086E11E903C8}"/>
    <hyperlink ref="B57" r:id="rId26" display="https://www.newmexico-demographics.com/quay-county-demographics" xr:uid="{6F8A865F-8242-6940-9682-D44D4DBDB2C1}"/>
    <hyperlink ref="B55" r:id="rId27" display="https://www.newmexico-demographics.com/mora-county-demographics" xr:uid="{8725C0CC-1FEF-694E-BB74-ED17092474C0}"/>
    <hyperlink ref="B47" r:id="rId28" display="https://www.newmexico-demographics.com/guadalupe-county-demographics" xr:uid="{7FFDE149-FC01-1240-A90D-C2546BA1C4FC}"/>
    <hyperlink ref="B49" r:id="rId29" display="https://www.newmexico-demographics.com/hidalgo-county-demographics" xr:uid="{C2F8FA7E-CC8C-0E4D-8EC8-4E1BD46A3464}"/>
    <hyperlink ref="B68" r:id="rId30" display="https://www.newmexico-demographics.com/union-county-demographics" xr:uid="{ED26FFC4-B53D-D04A-81EE-254B4DCCDCC1}"/>
    <hyperlink ref="B38" r:id="rId31" display="https://www.newmexico-demographics.com/catron-county-demographics" xr:uid="{CB1A5198-AF9C-8B46-AA44-8FDE31D2F71E}"/>
    <hyperlink ref="B43" r:id="rId32" display="https://www.newmexico-demographics.com/de-baca-county-demographics" xr:uid="{AC10EAE0-54EE-E448-BA2C-EA4257960407}"/>
    <hyperlink ref="B48" r:id="rId33" display="https://www.newmexico-demographics.com/harding-county-demographics" xr:uid="{DB36BC38-1172-994E-B46A-98C0147B094B}"/>
  </hyperlinks>
  <pageMargins left="0.7" right="0.7" top="0.75" bottom="0.75" header="0.3" footer="0.3"/>
  <tableParts count="3">
    <tablePart r:id="rId34"/>
    <tablePart r:id="rId35"/>
    <tablePart r:id="rId3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B48D-B010-ED49-9B3C-5A801FCA4AC9}">
  <dimension ref="A1:Q117"/>
  <sheetViews>
    <sheetView topLeftCell="C1" workbookViewId="0">
      <selection activeCell="P2" sqref="P2:P4"/>
    </sheetView>
  </sheetViews>
  <sheetFormatPr baseColWidth="10" defaultRowHeight="13"/>
  <cols>
    <col min="1" max="1" width="18.1640625" bestFit="1" customWidth="1"/>
    <col min="2" max="2" width="18.1640625" style="1" customWidth="1"/>
    <col min="3" max="3" width="17.33203125" customWidth="1"/>
    <col min="6" max="6" width="27.1640625" bestFit="1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s="1" customFormat="1" ht="17">
      <c r="A1" s="1" t="s">
        <v>69</v>
      </c>
      <c r="B1" s="1" t="s">
        <v>803</v>
      </c>
      <c r="C1" s="1" t="s">
        <v>1</v>
      </c>
      <c r="D1" s="1" t="s">
        <v>1677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s="1" t="s">
        <v>267</v>
      </c>
      <c r="Q1" s="1" t="s">
        <v>328</v>
      </c>
    </row>
    <row r="2" spans="1:17" ht="20">
      <c r="A2" s="107" t="s">
        <v>2356</v>
      </c>
      <c r="B2" s="107" t="s">
        <v>297</v>
      </c>
      <c r="C2" s="108">
        <v>1078</v>
      </c>
      <c r="D2">
        <f>Table70[[#This Row],[2020]]/C61</f>
        <v>3.5209772508288015E-3</v>
      </c>
      <c r="F2" s="16" t="s">
        <v>2356</v>
      </c>
      <c r="G2" s="17">
        <v>99474</v>
      </c>
      <c r="H2" s="80">
        <f>Table71[[#This Row],[BIDEN VOTES]]/C61</f>
        <v>0.32490323844985547</v>
      </c>
      <c r="I2" s="18">
        <v>0.64800000000000002</v>
      </c>
      <c r="J2" s="17">
        <v>51081</v>
      </c>
      <c r="K2" s="80">
        <f>Table71[[#This Row],[TRUMP VOTES]]/C61</f>
        <v>0.16684140904414285</v>
      </c>
      <c r="L2" s="18">
        <v>0.33300000000000002</v>
      </c>
      <c r="M2" s="80">
        <f>1-(Table71[[#This Row],[NbP]]+Table71[[#This Row],[NbP2]])</f>
        <v>0.50825535250600162</v>
      </c>
      <c r="O2" t="s">
        <v>1672</v>
      </c>
      <c r="P2">
        <f>CORREL(D:D,H:H)</f>
        <v>-0.50011172227725254</v>
      </c>
      <c r="Q2">
        <v>0.1</v>
      </c>
    </row>
    <row r="3" spans="1:17" ht="20">
      <c r="A3" s="107" t="s">
        <v>1740</v>
      </c>
      <c r="B3" s="107" t="s">
        <v>297</v>
      </c>
      <c r="C3" s="109">
        <v>227</v>
      </c>
      <c r="D3" s="1">
        <f>Table70[[#This Row],[2020]]/C62</f>
        <v>4.9023842432619211E-3</v>
      </c>
      <c r="F3" s="16" t="s">
        <v>1740</v>
      </c>
      <c r="G3" s="17">
        <v>6048</v>
      </c>
      <c r="H3" s="80">
        <f>Table71[[#This Row],[BIDEN VOTES]]/C62</f>
        <v>0.13061506565307532</v>
      </c>
      <c r="I3" s="18">
        <v>0.29199999999999998</v>
      </c>
      <c r="J3" s="17">
        <v>14135</v>
      </c>
      <c r="K3" s="80">
        <f>Table71[[#This Row],[TRUMP VOTES]]/C62</f>
        <v>0.305265203870076</v>
      </c>
      <c r="L3" s="18">
        <v>0.68300000000000005</v>
      </c>
      <c r="M3" s="80">
        <f>1-(Table71[[#This Row],[NbP]]+Table71[[#This Row],[NbP2]])</f>
        <v>0.56411973047684871</v>
      </c>
      <c r="O3" t="s">
        <v>1671</v>
      </c>
      <c r="P3">
        <f>CORREL(D:D,K:K)</f>
        <v>0.23134138209203287</v>
      </c>
      <c r="Q3">
        <v>0.1</v>
      </c>
    </row>
    <row r="4" spans="1:17" ht="20">
      <c r="A4" s="107" t="s">
        <v>2357</v>
      </c>
      <c r="B4" s="107" t="s">
        <v>297</v>
      </c>
      <c r="C4" s="108">
        <v>1616</v>
      </c>
      <c r="D4" s="1">
        <f>Table70[[#This Row],[2020]]/C63</f>
        <v>8.4148259234959021E-3</v>
      </c>
      <c r="F4" s="16" t="s">
        <v>2357</v>
      </c>
      <c r="G4" s="17">
        <v>47010</v>
      </c>
      <c r="H4" s="80">
        <f>Table71[[#This Row],[BIDEN VOTES]]/C63</f>
        <v>0.24479020214328115</v>
      </c>
      <c r="I4" s="18">
        <v>0.50700000000000001</v>
      </c>
      <c r="J4" s="17">
        <v>43800</v>
      </c>
      <c r="K4" s="80">
        <f>Table71[[#This Row],[TRUMP VOTES]]/C63</f>
        <v>0.22807510857000032</v>
      </c>
      <c r="L4" s="18">
        <v>0.47199999999999998</v>
      </c>
      <c r="M4" s="80">
        <f>1-(Table71[[#This Row],[NbP]]+Table71[[#This Row],[NbP2]])</f>
        <v>0.52713468928671858</v>
      </c>
      <c r="O4" t="s">
        <v>1679</v>
      </c>
      <c r="P4">
        <f>CORREL(D:D,M:M)</f>
        <v>0.27444169814119246</v>
      </c>
      <c r="Q4">
        <v>0.1</v>
      </c>
    </row>
    <row r="5" spans="1:17" ht="20">
      <c r="A5" s="107" t="s">
        <v>2358</v>
      </c>
      <c r="B5" s="107" t="s">
        <v>297</v>
      </c>
      <c r="C5" s="109">
        <v>393</v>
      </c>
      <c r="D5" s="1">
        <f>Table70[[#This Row],[2020]]/C64</f>
        <v>5.1205211726384368E-3</v>
      </c>
      <c r="F5" s="16" t="s">
        <v>2358</v>
      </c>
      <c r="G5" s="17">
        <v>11879</v>
      </c>
      <c r="H5" s="80">
        <f>Table71[[#This Row],[BIDEN VOTES]]/C64</f>
        <v>0.15477524429967426</v>
      </c>
      <c r="I5" s="18">
        <v>0.34200000000000003</v>
      </c>
      <c r="J5" s="17">
        <v>22155</v>
      </c>
      <c r="K5" s="80">
        <f>Table71[[#This Row],[TRUMP VOTES]]/C64</f>
        <v>0.28866449511400649</v>
      </c>
      <c r="L5" s="18">
        <v>0.63800000000000001</v>
      </c>
      <c r="M5" s="80">
        <f>1-(Table71[[#This Row],[NbP]]+Table71[[#This Row],[NbP2]])</f>
        <v>0.55656026058631924</v>
      </c>
    </row>
    <row r="6" spans="1:17" ht="20">
      <c r="A6" s="107" t="s">
        <v>2359</v>
      </c>
      <c r="B6" s="107" t="s">
        <v>297</v>
      </c>
      <c r="C6" s="109">
        <v>368</v>
      </c>
      <c r="D6" s="1">
        <f>Table70[[#This Row],[2020]]/C65</f>
        <v>4.781829049611476E-3</v>
      </c>
      <c r="F6" s="16" t="s">
        <v>2359</v>
      </c>
      <c r="G6" s="17">
        <v>16149</v>
      </c>
      <c r="H6" s="80">
        <f>Table71[[#This Row],[BIDEN VOTES]]/C65</f>
        <v>0.20984173185373839</v>
      </c>
      <c r="I6" s="18">
        <v>0.44400000000000001</v>
      </c>
      <c r="J6" s="17">
        <v>19512</v>
      </c>
      <c r="K6" s="80">
        <f>Table71[[#This Row],[TRUMP VOTES]]/C65</f>
        <v>0.25354089243483457</v>
      </c>
      <c r="L6" s="18">
        <v>0.53600000000000003</v>
      </c>
      <c r="M6" s="80">
        <f>1-(Table71[[#This Row],[NbP]]+Table71[[#This Row],[NbP2]])</f>
        <v>0.53661737571142698</v>
      </c>
    </row>
    <row r="7" spans="1:17" ht="20">
      <c r="A7" s="107" t="s">
        <v>2360</v>
      </c>
      <c r="B7" s="107" t="s">
        <v>297</v>
      </c>
      <c r="C7" s="109">
        <v>937</v>
      </c>
      <c r="D7" s="1">
        <f>Table70[[#This Row],[2020]]/C66</f>
        <v>7.3441810885377474E-3</v>
      </c>
      <c r="F7" s="16" t="s">
        <v>2360</v>
      </c>
      <c r="G7" s="17">
        <v>23087</v>
      </c>
      <c r="H7" s="80">
        <f>Table71[[#This Row],[BIDEN VOTES]]/C66</f>
        <v>0.18095529219964887</v>
      </c>
      <c r="I7" s="18">
        <v>0.39</v>
      </c>
      <c r="J7" s="17">
        <v>34853</v>
      </c>
      <c r="K7" s="80">
        <f>Table71[[#This Row],[TRUMP VOTES]]/C66</f>
        <v>0.27317688738399798</v>
      </c>
      <c r="L7" s="18">
        <v>0.58899999999999997</v>
      </c>
      <c r="M7" s="80">
        <f>1-(Table71[[#This Row],[NbP]]+Table71[[#This Row],[NbP2]])</f>
        <v>0.54586782041635318</v>
      </c>
    </row>
    <row r="8" spans="1:17" ht="20">
      <c r="A8" s="107" t="s">
        <v>2361</v>
      </c>
      <c r="B8" s="107" t="s">
        <v>297</v>
      </c>
      <c r="C8" s="109">
        <v>807</v>
      </c>
      <c r="D8" s="1">
        <f>Table70[[#This Row],[2020]]/C67</f>
        <v>9.594008203055341E-3</v>
      </c>
      <c r="F8" s="16" t="s">
        <v>2361</v>
      </c>
      <c r="G8" s="17">
        <v>16636</v>
      </c>
      <c r="H8" s="80">
        <f>Table71[[#This Row],[BIDEN VOTES]]/C67</f>
        <v>0.19777685311775545</v>
      </c>
      <c r="I8" s="18">
        <v>0.42199999999999999</v>
      </c>
      <c r="J8" s="17">
        <v>21922</v>
      </c>
      <c r="K8" s="80">
        <f>Table71[[#This Row],[TRUMP VOTES]]/C67</f>
        <v>0.26061939012066815</v>
      </c>
      <c r="L8" s="18">
        <v>0.55600000000000005</v>
      </c>
      <c r="M8" s="80">
        <f>1-(Table71[[#This Row],[NbP]]+Table71[[#This Row],[NbP2]])</f>
        <v>0.54160375676157635</v>
      </c>
    </row>
    <row r="9" spans="1:17" ht="20">
      <c r="A9" s="107" t="s">
        <v>2362</v>
      </c>
      <c r="B9" s="107" t="s">
        <v>297</v>
      </c>
      <c r="C9" s="109">
        <v>392</v>
      </c>
      <c r="D9" s="1">
        <f>Table70[[#This Row],[2020]]/C68</f>
        <v>8.2479432743493165E-3</v>
      </c>
      <c r="F9" s="16" t="s">
        <v>2362</v>
      </c>
      <c r="G9" s="17">
        <v>8290</v>
      </c>
      <c r="H9" s="80">
        <f>Table71[[#This Row],[BIDEN VOTES]]/C68</f>
        <v>0.17442716771519348</v>
      </c>
      <c r="I9" s="18">
        <v>0.372</v>
      </c>
      <c r="J9" s="17">
        <v>13482</v>
      </c>
      <c r="K9" s="80">
        <f>Table71[[#This Row],[TRUMP VOTES]]/C68</f>
        <v>0.28367033475708547</v>
      </c>
      <c r="L9" s="18">
        <v>0.60499999999999998</v>
      </c>
      <c r="M9" s="80">
        <f>1-(Table71[[#This Row],[NbP]]+Table71[[#This Row],[NbP2]])</f>
        <v>0.54190249752772102</v>
      </c>
    </row>
    <row r="10" spans="1:17" ht="20">
      <c r="A10" s="107" t="s">
        <v>1405</v>
      </c>
      <c r="B10" s="107" t="s">
        <v>297</v>
      </c>
      <c r="C10" s="109">
        <v>307</v>
      </c>
      <c r="D10" s="1">
        <f>Table70[[#This Row],[2020]]/C69</f>
        <v>3.822211155378486E-3</v>
      </c>
      <c r="F10" s="16" t="s">
        <v>1405</v>
      </c>
      <c r="G10" s="17">
        <v>18364</v>
      </c>
      <c r="H10" s="80">
        <f>Table71[[#This Row],[BIDEN VOTES]]/C69</f>
        <v>0.22863545816733069</v>
      </c>
      <c r="I10" s="18">
        <v>0.51800000000000002</v>
      </c>
      <c r="J10" s="17">
        <v>16514</v>
      </c>
      <c r="K10" s="80">
        <f>Table71[[#This Row],[TRUMP VOTES]]/C69</f>
        <v>0.20560258964143427</v>
      </c>
      <c r="L10" s="18">
        <v>0.46600000000000003</v>
      </c>
      <c r="M10" s="80">
        <f>1-(Table71[[#This Row],[NbP]]+Table71[[#This Row],[NbP2]])</f>
        <v>0.56576195219123504</v>
      </c>
    </row>
    <row r="11" spans="1:17" ht="20">
      <c r="A11" s="107" t="s">
        <v>271</v>
      </c>
      <c r="B11" s="107" t="s">
        <v>297</v>
      </c>
      <c r="C11" s="109">
        <v>211</v>
      </c>
      <c r="D11" s="1">
        <f>Table70[[#This Row],[2020]]/C70</f>
        <v>3.5157291388962942E-3</v>
      </c>
      <c r="F11" s="16" t="s">
        <v>271</v>
      </c>
      <c r="G11" s="17">
        <v>20386</v>
      </c>
      <c r="H11" s="80">
        <f>Table71[[#This Row],[BIDEN VOTES]]/C70</f>
        <v>0.33967608637696617</v>
      </c>
      <c r="I11" s="18">
        <v>0.57399999999999995</v>
      </c>
      <c r="J11" s="17">
        <v>14464</v>
      </c>
      <c r="K11" s="80">
        <f>Table71[[#This Row],[TRUMP VOTES]]/C70</f>
        <v>0.24100239936017062</v>
      </c>
      <c r="L11" s="18">
        <v>0.40699999999999997</v>
      </c>
      <c r="M11" s="80">
        <f>1-(Table71[[#This Row],[NbP]]+Table71[[#This Row],[NbP2]])</f>
        <v>0.41932151426286324</v>
      </c>
    </row>
    <row r="12" spans="1:17" ht="20">
      <c r="A12" s="107" t="s">
        <v>2363</v>
      </c>
      <c r="B12" s="107" t="s">
        <v>297</v>
      </c>
      <c r="C12" s="109">
        <v>335</v>
      </c>
      <c r="D12" s="1">
        <f>Table70[[#This Row],[2020]]/C71</f>
        <v>7.0351547734050146E-3</v>
      </c>
      <c r="F12" s="16" t="s">
        <v>2363</v>
      </c>
      <c r="G12" s="17">
        <v>10369</v>
      </c>
      <c r="H12" s="80">
        <f>Table71[[#This Row],[BIDEN VOTES]]/C71</f>
        <v>0.21775379058339284</v>
      </c>
      <c r="I12" s="18">
        <v>0.47899999999999998</v>
      </c>
      <c r="J12" s="17">
        <v>10789</v>
      </c>
      <c r="K12" s="80">
        <f>Table71[[#This Row],[TRUMP VOTES]]/C71</f>
        <v>0.22657398462766182</v>
      </c>
      <c r="L12" s="18">
        <v>0.498</v>
      </c>
      <c r="M12" s="80">
        <f>1-(Table71[[#This Row],[NbP]]+Table71[[#This Row],[NbP2]])</f>
        <v>0.5556722247889454</v>
      </c>
    </row>
    <row r="13" spans="1:17" ht="20">
      <c r="A13" s="107" t="s">
        <v>1457</v>
      </c>
      <c r="B13" s="107" t="s">
        <v>297</v>
      </c>
      <c r="C13" s="109">
        <v>341</v>
      </c>
      <c r="D13" s="1">
        <f>Table70[[#This Row],[2020]]/C72</f>
        <v>7.6327334586802761E-3</v>
      </c>
      <c r="F13" s="16" t="s">
        <v>1457</v>
      </c>
      <c r="G13" s="17">
        <v>9143</v>
      </c>
      <c r="H13" s="80">
        <f>Table71[[#This Row],[BIDEN VOTES]]/C72</f>
        <v>0.20465126689945384</v>
      </c>
      <c r="I13" s="18">
        <v>0.39800000000000002</v>
      </c>
      <c r="J13" s="17">
        <v>13387</v>
      </c>
      <c r="K13" s="80">
        <f>Table71[[#This Row],[TRUMP VOTES]]/C72</f>
        <v>0.29964634255528694</v>
      </c>
      <c r="L13" s="18">
        <v>0.58299999999999996</v>
      </c>
      <c r="M13" s="80">
        <f>1-(Table71[[#This Row],[NbP]]+Table71[[#This Row],[NbP2]])</f>
        <v>0.49570239054525922</v>
      </c>
    </row>
    <row r="14" spans="1:17" ht="20">
      <c r="A14" s="107" t="s">
        <v>2364</v>
      </c>
      <c r="B14" s="107" t="s">
        <v>297</v>
      </c>
      <c r="C14" s="109">
        <v>651</v>
      </c>
      <c r="D14" s="1">
        <f>Table70[[#This Row],[2020]]/C73</f>
        <v>2.2178765620528475E-3</v>
      </c>
      <c r="F14" s="16" t="s">
        <v>2364</v>
      </c>
      <c r="G14" s="17">
        <v>81443</v>
      </c>
      <c r="H14" s="80">
        <f>Table71[[#This Row],[BIDEN VOTES]]/C73</f>
        <v>0.27746623785448549</v>
      </c>
      <c r="I14" s="18">
        <v>0.54100000000000004</v>
      </c>
      <c r="J14" s="17">
        <v>66872</v>
      </c>
      <c r="K14" s="80">
        <f>Table71[[#This Row],[TRUMP VOTES]]/C73</f>
        <v>0.22782464125591093</v>
      </c>
      <c r="L14" s="18">
        <v>0.44400000000000001</v>
      </c>
      <c r="M14" s="80">
        <f>1-(Table71[[#This Row],[NbP]]+Table71[[#This Row],[NbP2]])</f>
        <v>0.49470912088960362</v>
      </c>
    </row>
    <row r="15" spans="1:17" ht="20">
      <c r="A15" s="107" t="s">
        <v>2365</v>
      </c>
      <c r="B15" s="107" t="s">
        <v>297</v>
      </c>
      <c r="C15" s="108">
        <v>3965</v>
      </c>
      <c r="D15" s="1">
        <f>Table70[[#This Row],[2020]]/C74</f>
        <v>4.3150685676910739E-3</v>
      </c>
      <c r="F15" s="16" t="s">
        <v>2365</v>
      </c>
      <c r="G15" s="17">
        <v>267174</v>
      </c>
      <c r="H15" s="80">
        <f>Table71[[#This Row],[BIDEN VOTES]]/C74</f>
        <v>0.29076270605404664</v>
      </c>
      <c r="I15" s="18">
        <v>0.56499999999999995</v>
      </c>
      <c r="J15" s="17">
        <v>197527</v>
      </c>
      <c r="K15" s="80">
        <f>Table71[[#This Row],[TRUMP VOTES]]/C74</f>
        <v>0.21496659494837697</v>
      </c>
      <c r="L15" s="18">
        <v>0.41799999999999998</v>
      </c>
      <c r="M15" s="80">
        <f>1-(Table71[[#This Row],[NbP]]+Table71[[#This Row],[NbP2]])</f>
        <v>0.49427069899757636</v>
      </c>
    </row>
    <row r="16" spans="1:17" ht="20">
      <c r="A16" s="107" t="s">
        <v>790</v>
      </c>
      <c r="B16" s="107" t="s">
        <v>297</v>
      </c>
      <c r="C16" s="109">
        <v>151</v>
      </c>
      <c r="D16" s="1">
        <f>Table70[[#This Row],[2020]]/C75</f>
        <v>4.0503205386121614E-3</v>
      </c>
      <c r="F16" s="16" t="s">
        <v>790</v>
      </c>
      <c r="G16" s="17">
        <v>9947</v>
      </c>
      <c r="H16" s="80">
        <f>Table71[[#This Row],[BIDEN VOTES]]/C75</f>
        <v>0.26681151256672297</v>
      </c>
      <c r="I16" s="18">
        <v>0.51600000000000001</v>
      </c>
      <c r="J16" s="17">
        <v>8976</v>
      </c>
      <c r="K16" s="80">
        <f>Table71[[#This Row],[TRUMP VOTES]]/C75</f>
        <v>0.24076607387140903</v>
      </c>
      <c r="L16" s="18">
        <v>0.46600000000000003</v>
      </c>
      <c r="M16" s="80">
        <f>1-(Table71[[#This Row],[NbP]]+Table71[[#This Row],[NbP2]])</f>
        <v>0.492422413561868</v>
      </c>
    </row>
    <row r="17" spans="1:13" ht="20">
      <c r="A17" s="107" t="s">
        <v>195</v>
      </c>
      <c r="B17" s="107" t="s">
        <v>297</v>
      </c>
      <c r="C17" s="109">
        <v>258</v>
      </c>
      <c r="D17" s="1">
        <f>Table70[[#This Row],[2020]]/C76</f>
        <v>5.1201651154021708E-3</v>
      </c>
      <c r="F17" s="16" t="s">
        <v>195</v>
      </c>
      <c r="G17" s="17">
        <v>9253</v>
      </c>
      <c r="H17" s="80">
        <f>Table71[[#This Row],[BIDEN VOTES]]/C76</f>
        <v>0.18363134811169105</v>
      </c>
      <c r="I17" s="18">
        <v>0.48</v>
      </c>
      <c r="J17" s="17">
        <v>9668</v>
      </c>
      <c r="K17" s="80">
        <f>Table71[[#This Row],[TRUMP VOTES]]/C76</f>
        <v>0.191867272619024</v>
      </c>
      <c r="L17" s="18">
        <v>0.502</v>
      </c>
      <c r="M17" s="80">
        <f>1-(Table71[[#This Row],[NbP]]+Table71[[#This Row],[NbP2]])</f>
        <v>0.62450137926928495</v>
      </c>
    </row>
    <row r="18" spans="1:13" ht="20">
      <c r="A18" s="107" t="s">
        <v>1343</v>
      </c>
      <c r="B18" s="107" t="s">
        <v>297</v>
      </c>
      <c r="C18" s="109">
        <v>286</v>
      </c>
      <c r="D18" s="1">
        <f>Table70[[#This Row],[2020]]/C77</f>
        <v>5.3505949262890066E-3</v>
      </c>
      <c r="F18" s="16" t="s">
        <v>1343</v>
      </c>
      <c r="G18" s="17">
        <v>7931</v>
      </c>
      <c r="H18" s="80">
        <f>Table71[[#This Row],[BIDEN VOTES]]/C77</f>
        <v>0.14837611314824514</v>
      </c>
      <c r="I18" s="18">
        <v>0.33400000000000002</v>
      </c>
      <c r="J18" s="17">
        <v>15378</v>
      </c>
      <c r="K18" s="80">
        <f>Table71[[#This Row],[TRUMP VOTES]]/C77</f>
        <v>0.28769737334430889</v>
      </c>
      <c r="L18" s="18">
        <v>0.64800000000000002</v>
      </c>
      <c r="M18" s="80">
        <f>1-(Table71[[#This Row],[NbP]]+Table71[[#This Row],[NbP2]])</f>
        <v>0.56392651350744594</v>
      </c>
    </row>
    <row r="19" spans="1:13" ht="20">
      <c r="A19" s="107" t="s">
        <v>1830</v>
      </c>
      <c r="B19" s="107" t="s">
        <v>297</v>
      </c>
      <c r="C19" s="109">
        <v>282</v>
      </c>
      <c r="D19" s="1">
        <f>Table70[[#This Row],[2020]]/C78</f>
        <v>4.8997463251902558E-3</v>
      </c>
      <c r="F19" s="16" t="s">
        <v>1830</v>
      </c>
      <c r="G19" s="17">
        <v>9625</v>
      </c>
      <c r="H19" s="80">
        <f>Table71[[#This Row],[BIDEN VOTES]]/C78</f>
        <v>0.16723424957431282</v>
      </c>
      <c r="I19" s="18">
        <v>0.33</v>
      </c>
      <c r="J19" s="17">
        <v>18876</v>
      </c>
      <c r="K19" s="80">
        <f>Table71[[#This Row],[TRUMP VOTES]]/C78</f>
        <v>0.3279702540223095</v>
      </c>
      <c r="L19" s="18">
        <v>0.64600000000000002</v>
      </c>
      <c r="M19" s="80">
        <f>1-(Table71[[#This Row],[NbP]]+Table71[[#This Row],[NbP2]])</f>
        <v>0.50479549640337762</v>
      </c>
    </row>
    <row r="20" spans="1:13" ht="20">
      <c r="A20" s="107" t="s">
        <v>199</v>
      </c>
      <c r="B20" s="107" t="s">
        <v>297</v>
      </c>
      <c r="C20" s="109">
        <v>207</v>
      </c>
      <c r="D20" s="1">
        <f>Table70[[#This Row],[2020]]/C79</f>
        <v>4.3730854547375094E-3</v>
      </c>
      <c r="F20" s="16" t="s">
        <v>199</v>
      </c>
      <c r="G20" s="17">
        <v>10346</v>
      </c>
      <c r="H20" s="80">
        <f>Table71[[#This Row],[BIDEN VOTES]]/C79</f>
        <v>0.21856976867011724</v>
      </c>
      <c r="I20" s="18">
        <v>0.41199999999999998</v>
      </c>
      <c r="J20" s="17">
        <v>14271</v>
      </c>
      <c r="K20" s="80">
        <f>Table71[[#This Row],[TRUMP VOTES]]/C79</f>
        <v>0.30148938417661347</v>
      </c>
      <c r="L20" s="18">
        <v>0.56799999999999995</v>
      </c>
      <c r="M20" s="80">
        <f>1-(Table71[[#This Row],[NbP]]+Table71[[#This Row],[NbP2]])</f>
        <v>0.47994084715326935</v>
      </c>
    </row>
    <row r="21" spans="1:13" ht="20">
      <c r="A21" s="107" t="s">
        <v>202</v>
      </c>
      <c r="B21" s="107" t="s">
        <v>297</v>
      </c>
      <c r="C21" s="109">
        <v>23</v>
      </c>
      <c r="D21" s="1">
        <f>Table70[[#This Row],[2020]]/C80</f>
        <v>5.1638976201167494E-3</v>
      </c>
      <c r="F21" s="16" t="s">
        <v>202</v>
      </c>
      <c r="G21" s="17">
        <v>1178</v>
      </c>
      <c r="H21" s="80">
        <f>Table71[[#This Row],[BIDEN VOTES]]/C80</f>
        <v>0.26448136506511</v>
      </c>
      <c r="I21" s="18">
        <v>0.34100000000000003</v>
      </c>
      <c r="J21" s="17">
        <v>2225</v>
      </c>
      <c r="K21" s="80">
        <f>Table71[[#This Row],[TRUMP VOTES]]/C80</f>
        <v>0.49955096542433769</v>
      </c>
      <c r="L21" s="18">
        <v>0.64300000000000002</v>
      </c>
      <c r="M21" s="80">
        <f>1-(Table71[[#This Row],[NbP]]+Table71[[#This Row],[NbP2]])</f>
        <v>0.23596766951055237</v>
      </c>
    </row>
    <row r="22" spans="1:13" ht="20">
      <c r="A22" s="107" t="s">
        <v>2366</v>
      </c>
      <c r="B22" s="107" t="s">
        <v>297</v>
      </c>
      <c r="C22" s="109">
        <v>213</v>
      </c>
      <c r="D22" s="1">
        <f>Table70[[#This Row],[2020]]/C81</f>
        <v>3.4500631701707214E-3</v>
      </c>
      <c r="F22" s="16" t="s">
        <v>2366</v>
      </c>
      <c r="G22" s="17">
        <v>9937</v>
      </c>
      <c r="H22" s="80">
        <f>Table71[[#This Row],[BIDEN VOTES]]/C81</f>
        <v>0.16095435550228385</v>
      </c>
      <c r="I22" s="18">
        <v>0.33900000000000002</v>
      </c>
      <c r="J22" s="17">
        <v>18870</v>
      </c>
      <c r="K22" s="80">
        <f>Table71[[#This Row],[TRUMP VOTES]]/C81</f>
        <v>0.30564644141371605</v>
      </c>
      <c r="L22" s="18">
        <v>0.64400000000000002</v>
      </c>
      <c r="M22" s="80">
        <f>1-(Table71[[#This Row],[NbP]]+Table71[[#This Row],[NbP2]])</f>
        <v>0.53339920308400013</v>
      </c>
    </row>
    <row r="23" spans="1:13" ht="20">
      <c r="A23" s="107" t="s">
        <v>214</v>
      </c>
      <c r="B23" s="107" t="s">
        <v>297</v>
      </c>
      <c r="C23" s="108">
        <v>1007</v>
      </c>
      <c r="D23" s="1">
        <f>Table70[[#This Row],[2020]]/C82</f>
        <v>9.035117627003068E-3</v>
      </c>
      <c r="F23" s="16" t="s">
        <v>214</v>
      </c>
      <c r="G23" s="17">
        <v>17307</v>
      </c>
      <c r="H23" s="80">
        <f>Table71[[#This Row],[BIDEN VOTES]]/C82</f>
        <v>0.15528379421106464</v>
      </c>
      <c r="I23" s="18">
        <v>0.39500000000000002</v>
      </c>
      <c r="J23" s="17">
        <v>25629</v>
      </c>
      <c r="K23" s="80">
        <f>Table71[[#This Row],[TRUMP VOTES]]/C82</f>
        <v>0.22995137007195793</v>
      </c>
      <c r="L23" s="18">
        <v>0.58399999999999996</v>
      </c>
      <c r="M23" s="80">
        <f>1-(Table71[[#This Row],[NbP]]+Table71[[#This Row],[NbP2]])</f>
        <v>0.61476483571697749</v>
      </c>
    </row>
    <row r="24" spans="1:13" ht="20">
      <c r="A24" s="107" t="s">
        <v>220</v>
      </c>
      <c r="B24" s="107" t="s">
        <v>297</v>
      </c>
      <c r="C24" s="109">
        <v>127</v>
      </c>
      <c r="D24" s="1">
        <f>Table70[[#This Row],[2020]]/C83</f>
        <v>4.8004233444209257E-3</v>
      </c>
      <c r="F24" s="16" t="s">
        <v>220</v>
      </c>
      <c r="G24" s="17">
        <v>3824</v>
      </c>
      <c r="H24" s="80">
        <f>Table71[[#This Row],[BIDEN VOTES]]/C83</f>
        <v>0.14454188085878439</v>
      </c>
      <c r="I24" s="18">
        <v>0.29599999999999999</v>
      </c>
      <c r="J24" s="17">
        <v>8894</v>
      </c>
      <c r="K24" s="80">
        <f>Table71[[#This Row],[TRUMP VOTES]]/C83</f>
        <v>0.33618082854550951</v>
      </c>
      <c r="L24" s="18">
        <v>0.68700000000000006</v>
      </c>
      <c r="M24" s="80">
        <f>1-(Table71[[#This Row],[NbP]]+Table71[[#This Row],[NbP2]])</f>
        <v>0.51927729059570615</v>
      </c>
    </row>
    <row r="25" spans="1:13" ht="20">
      <c r="A25" s="107" t="s">
        <v>1407</v>
      </c>
      <c r="B25" s="107" t="s">
        <v>297</v>
      </c>
      <c r="C25" s="109">
        <v>289</v>
      </c>
      <c r="D25" s="1">
        <f>Table70[[#This Row],[2020]]/C84</f>
        <v>4.5714828055300706E-3</v>
      </c>
      <c r="F25" s="16" t="s">
        <v>1407</v>
      </c>
      <c r="G25" s="17">
        <v>12477</v>
      </c>
      <c r="H25" s="80">
        <f>Table71[[#This Row],[BIDEN VOTES]]/C84</f>
        <v>0.19736467461798854</v>
      </c>
      <c r="I25" s="18">
        <v>0.39800000000000002</v>
      </c>
      <c r="J25" s="17">
        <v>18182</v>
      </c>
      <c r="K25" s="80">
        <f>Table71[[#This Row],[TRUMP VOTES]]/C84</f>
        <v>0.28760795975829667</v>
      </c>
      <c r="L25" s="18">
        <v>0.57899999999999996</v>
      </c>
      <c r="M25" s="80">
        <f>1-(Table71[[#This Row],[NbP]]+Table71[[#This Row],[NbP2]])</f>
        <v>0.51502736562371476</v>
      </c>
    </row>
    <row r="26" spans="1:13" ht="20">
      <c r="A26" s="107" t="s">
        <v>226</v>
      </c>
      <c r="B26" s="107" t="s">
        <v>297</v>
      </c>
      <c r="C26" s="109">
        <v>346</v>
      </c>
      <c r="D26" s="1">
        <f>Table70[[#This Row],[2020]]/C85</f>
        <v>4.8739259050570504E-3</v>
      </c>
      <c r="F26" s="16" t="s">
        <v>226</v>
      </c>
      <c r="G26" s="17">
        <v>14807</v>
      </c>
      <c r="H26" s="80">
        <f>Table71[[#This Row],[BIDEN VOTES]]/C85</f>
        <v>0.2085786730525426</v>
      </c>
      <c r="I26" s="18">
        <v>0.435</v>
      </c>
      <c r="J26" s="17">
        <v>18408</v>
      </c>
      <c r="K26" s="80">
        <f>Table71[[#This Row],[TRUMP VOTES]]/C85</f>
        <v>0.25930412734187913</v>
      </c>
      <c r="L26" s="18">
        <v>0.54100000000000004</v>
      </c>
      <c r="M26" s="80">
        <f>1-(Table71[[#This Row],[NbP]]+Table71[[#This Row],[NbP2]])</f>
        <v>0.53211719960557824</v>
      </c>
    </row>
    <row r="27" spans="1:13" ht="20">
      <c r="A27" s="107" t="s">
        <v>231</v>
      </c>
      <c r="B27" s="107" t="s">
        <v>297</v>
      </c>
      <c r="C27" s="108">
        <v>2706</v>
      </c>
      <c r="D27" s="1">
        <f>Table70[[#This Row],[2020]]/C86</f>
        <v>3.6415802251158684E-3</v>
      </c>
      <c r="F27" s="16" t="s">
        <v>231</v>
      </c>
      <c r="G27" s="17">
        <v>225746</v>
      </c>
      <c r="H27" s="80">
        <f>Table71[[#This Row],[BIDEN VOTES]]/C86</f>
        <v>0.30379607150739352</v>
      </c>
      <c r="I27" s="18">
        <v>0.59499999999999997</v>
      </c>
      <c r="J27" s="17">
        <v>145661</v>
      </c>
      <c r="K27" s="80">
        <f>Table71[[#This Row],[TRUMP VOTES]]/C86</f>
        <v>0.19602225320421379</v>
      </c>
      <c r="L27" s="18">
        <v>0.38400000000000001</v>
      </c>
      <c r="M27" s="80">
        <f>1-(Table71[[#This Row],[NbP]]+Table71[[#This Row],[NbP2]])</f>
        <v>0.50018167528839275</v>
      </c>
    </row>
    <row r="28" spans="1:13" ht="20">
      <c r="A28" s="107" t="s">
        <v>232</v>
      </c>
      <c r="B28" s="107" t="s">
        <v>297</v>
      </c>
      <c r="C28" s="109">
        <v>308</v>
      </c>
      <c r="D28" s="1">
        <f>Table70[[#This Row],[2020]]/C87</f>
        <v>6.2482249360976995E-3</v>
      </c>
      <c r="F28" s="16" t="s">
        <v>232</v>
      </c>
      <c r="G28" s="17">
        <v>7977</v>
      </c>
      <c r="H28" s="80">
        <f>Table71[[#This Row],[BIDEN VOTES]]/C87</f>
        <v>0.16182496855601086</v>
      </c>
      <c r="I28" s="18">
        <v>0.378</v>
      </c>
      <c r="J28" s="17">
        <v>12745</v>
      </c>
      <c r="K28" s="80">
        <f>Table71[[#This Row],[TRUMP VOTES]]/C87</f>
        <v>0.25855073639793891</v>
      </c>
      <c r="L28" s="18">
        <v>0.60299999999999998</v>
      </c>
      <c r="M28" s="80">
        <f>1-(Table71[[#This Row],[NbP]]+Table71[[#This Row],[NbP2]])</f>
        <v>0.57962429504605018</v>
      </c>
    </row>
    <row r="29" spans="1:13" ht="20">
      <c r="A29" s="107" t="s">
        <v>2367</v>
      </c>
      <c r="B29" s="107" t="s">
        <v>297</v>
      </c>
      <c r="C29" s="108">
        <v>1349</v>
      </c>
      <c r="D29" s="1">
        <f>Table70[[#This Row],[2020]]/C88</f>
        <v>9.9507038149773946E-4</v>
      </c>
      <c r="F29" s="16" t="s">
        <v>2367</v>
      </c>
      <c r="G29" s="17">
        <v>396504</v>
      </c>
      <c r="H29" s="80">
        <f>Table71[[#This Row],[BIDEN VOTES]]/C88</f>
        <v>0.29247545333237934</v>
      </c>
      <c r="I29" s="18">
        <v>0.54300000000000004</v>
      </c>
      <c r="J29" s="17">
        <v>326716</v>
      </c>
      <c r="K29" s="80">
        <f>Table71[[#This Row],[TRUMP VOTES]]/C88</f>
        <v>0.24099734229904779</v>
      </c>
      <c r="L29" s="18">
        <v>0.44700000000000001</v>
      </c>
      <c r="M29" s="80">
        <f>1-(Table71[[#This Row],[NbP]]+Table71[[#This Row],[NbP2]])</f>
        <v>0.46652720436857287</v>
      </c>
    </row>
    <row r="30" spans="1:13" ht="20">
      <c r="A30" s="107" t="s">
        <v>2368</v>
      </c>
      <c r="B30" s="107" t="s">
        <v>297</v>
      </c>
      <c r="C30" s="109">
        <v>828</v>
      </c>
      <c r="D30" s="1">
        <f>Table70[[#This Row],[2020]]/C89</f>
        <v>3.9401365723666995E-3</v>
      </c>
      <c r="F30" s="16" t="s">
        <v>2368</v>
      </c>
      <c r="G30" s="17">
        <v>46029</v>
      </c>
      <c r="H30" s="80">
        <f>Table71[[#This Row],[BIDEN VOTES]]/C89</f>
        <v>0.21903447619500821</v>
      </c>
      <c r="I30" s="18">
        <v>0.442</v>
      </c>
      <c r="J30" s="17">
        <v>56068</v>
      </c>
      <c r="K30" s="80">
        <f>Table71[[#This Row],[TRUMP VOTES]]/C89</f>
        <v>0.26680625282543008</v>
      </c>
      <c r="L30" s="18">
        <v>0.53900000000000003</v>
      </c>
      <c r="M30" s="80">
        <f>1-(Table71[[#This Row],[NbP]]+Table71[[#This Row],[NbP2]])</f>
        <v>0.51415927097956171</v>
      </c>
    </row>
    <row r="31" spans="1:13" ht="20">
      <c r="A31" s="107" t="s">
        <v>2369</v>
      </c>
      <c r="B31" s="107" t="s">
        <v>297</v>
      </c>
      <c r="C31" s="108">
        <v>1311</v>
      </c>
      <c r="D31" s="1">
        <f>Table70[[#This Row],[2020]]/C90</f>
        <v>5.7230414625841428E-3</v>
      </c>
      <c r="F31" s="16" t="s">
        <v>2369</v>
      </c>
      <c r="G31" s="17">
        <v>41567</v>
      </c>
      <c r="H31" s="80">
        <f>Table71[[#This Row],[BIDEN VOTES]]/C90</f>
        <v>0.18145664719697566</v>
      </c>
      <c r="I31" s="18">
        <v>0.41299999999999998</v>
      </c>
      <c r="J31" s="17">
        <v>57180</v>
      </c>
      <c r="K31" s="80">
        <f>Table71[[#This Row],[TRUMP VOTES]]/C90</f>
        <v>0.24961366196076376</v>
      </c>
      <c r="L31" s="18">
        <v>0.56799999999999995</v>
      </c>
      <c r="M31" s="80">
        <f>1-(Table71[[#This Row],[NbP]]+Table71[[#This Row],[NbP2]])</f>
        <v>0.56892969084226053</v>
      </c>
    </row>
    <row r="32" spans="1:13" ht="20">
      <c r="A32" s="107" t="s">
        <v>2370</v>
      </c>
      <c r="B32" s="107" t="s">
        <v>297</v>
      </c>
      <c r="C32" s="108">
        <v>1663</v>
      </c>
      <c r="D32" s="1">
        <f>Table70[[#This Row],[2020]]/C91</f>
        <v>3.6027565528790641E-3</v>
      </c>
      <c r="F32" s="16" t="s">
        <v>2370</v>
      </c>
      <c r="G32" s="17">
        <v>138991</v>
      </c>
      <c r="H32" s="80">
        <f>Table71[[#This Row],[BIDEN VOTES]]/C91</f>
        <v>0.30111288998269031</v>
      </c>
      <c r="I32" s="18">
        <v>0.58899999999999997</v>
      </c>
      <c r="J32" s="17">
        <v>91715</v>
      </c>
      <c r="K32" s="80">
        <f>Table71[[#This Row],[TRUMP VOTES]]/C91</f>
        <v>0.19869321542231108</v>
      </c>
      <c r="L32" s="18">
        <v>0.38900000000000001</v>
      </c>
      <c r="M32" s="80">
        <f>1-(Table71[[#This Row],[NbP]]+Table71[[#This Row],[NbP2]])</f>
        <v>0.50019389459499863</v>
      </c>
    </row>
    <row r="33" spans="1:13" ht="20">
      <c r="A33" s="107" t="s">
        <v>2371</v>
      </c>
      <c r="B33" s="107" t="s">
        <v>297</v>
      </c>
      <c r="C33" s="109">
        <v>377</v>
      </c>
      <c r="D33" s="1">
        <f>Table70[[#This Row],[2020]]/C92</f>
        <v>3.4343287117168E-3</v>
      </c>
      <c r="F33" s="16" t="s">
        <v>2371</v>
      </c>
      <c r="G33" s="17">
        <v>29025</v>
      </c>
      <c r="H33" s="80">
        <f>Table71[[#This Row],[BIDEN VOTES]]/C92</f>
        <v>0.26440687230127352</v>
      </c>
      <c r="I33" s="18">
        <v>0.48699999999999999</v>
      </c>
      <c r="J33" s="17">
        <v>29039</v>
      </c>
      <c r="K33" s="80">
        <f>Table71[[#This Row],[TRUMP VOTES]]/C92</f>
        <v>0.26453440705449377</v>
      </c>
      <c r="L33" s="18">
        <v>0.48699999999999999</v>
      </c>
      <c r="M33" s="80">
        <f>1-(Table71[[#This Row],[NbP]]+Table71[[#This Row],[NbP2]])</f>
        <v>0.47105872064423271</v>
      </c>
    </row>
    <row r="34" spans="1:13" ht="20">
      <c r="A34" s="107" t="s">
        <v>491</v>
      </c>
      <c r="B34" s="107" t="s">
        <v>297</v>
      </c>
      <c r="C34" s="109">
        <v>786</v>
      </c>
      <c r="D34" s="1">
        <f>Table70[[#This Row],[2020]]/C93</f>
        <v>2.0571769564773591E-3</v>
      </c>
      <c r="F34" s="16" t="s">
        <v>491</v>
      </c>
      <c r="G34" s="17">
        <v>84684</v>
      </c>
      <c r="H34" s="80">
        <f>Table71[[#This Row],[BIDEN VOTES]]/C93</f>
        <v>0.22164118750932404</v>
      </c>
      <c r="I34" s="18">
        <v>0.49199999999999999</v>
      </c>
      <c r="J34" s="17">
        <v>84996</v>
      </c>
      <c r="K34" s="80">
        <f>Table71[[#This Row],[TRUMP VOTES]]/C93</f>
        <v>0.22245777683555931</v>
      </c>
      <c r="L34" s="18">
        <v>0.49399999999999999</v>
      </c>
      <c r="M34" s="80">
        <f>1-(Table71[[#This Row],[NbP]]+Table71[[#This Row],[NbP2]])</f>
        <v>0.55590103565511662</v>
      </c>
    </row>
    <row r="35" spans="1:13" ht="20">
      <c r="A35" s="107" t="s">
        <v>2372</v>
      </c>
      <c r="B35" s="107" t="s">
        <v>297</v>
      </c>
      <c r="C35" s="109">
        <v>175</v>
      </c>
      <c r="D35" s="1">
        <f>Table70[[#This Row],[2020]]/C94</f>
        <v>4.3077983458054353E-3</v>
      </c>
      <c r="F35" s="16" t="s">
        <v>2372</v>
      </c>
      <c r="G35" s="17">
        <v>5587</v>
      </c>
      <c r="H35" s="80">
        <f>Table71[[#This Row],[BIDEN VOTES]]/C94</f>
        <v>0.13752953918865696</v>
      </c>
      <c r="I35" s="18">
        <v>0.308</v>
      </c>
      <c r="J35" s="17">
        <v>12126</v>
      </c>
      <c r="K35" s="80">
        <f>Table71[[#This Row],[TRUMP VOTES]]/C94</f>
        <v>0.29849350137849545</v>
      </c>
      <c r="L35" s="18">
        <v>0.66800000000000004</v>
      </c>
      <c r="M35" s="80">
        <f>1-(Table71[[#This Row],[NbP]]+Table71[[#This Row],[NbP2]])</f>
        <v>0.56397695943284765</v>
      </c>
    </row>
    <row r="36" spans="1:13" ht="20">
      <c r="A36" s="107" t="s">
        <v>2373</v>
      </c>
      <c r="B36" s="107" t="s">
        <v>297</v>
      </c>
      <c r="C36" s="108">
        <v>1126</v>
      </c>
      <c r="D36" s="1">
        <f>Table70[[#This Row],[2020]]/C95</f>
        <v>9.5723879962594568E-3</v>
      </c>
      <c r="F36" s="16" t="s">
        <v>2373</v>
      </c>
      <c r="G36" s="17">
        <v>21143</v>
      </c>
      <c r="H36" s="80">
        <f>Table71[[#This Row],[BIDEN VOTES]]/C95</f>
        <v>0.17974156252656634</v>
      </c>
      <c r="I36" s="18">
        <v>0.38800000000000001</v>
      </c>
      <c r="J36" s="17">
        <v>32138</v>
      </c>
      <c r="K36" s="80">
        <f>Table71[[#This Row],[TRUMP VOTES]]/C95</f>
        <v>0.27321261582929524</v>
      </c>
      <c r="L36" s="18">
        <v>0.59</v>
      </c>
      <c r="M36" s="80">
        <f>1-(Table71[[#This Row],[NbP]]+Table71[[#This Row],[NbP2]])</f>
        <v>0.5470458216441384</v>
      </c>
    </row>
    <row r="37" spans="1:13" ht="20">
      <c r="A37" s="107" t="s">
        <v>1866</v>
      </c>
      <c r="B37" s="107" t="s">
        <v>297</v>
      </c>
      <c r="C37" s="109">
        <v>310</v>
      </c>
      <c r="D37" s="1">
        <f>Table70[[#This Row],[2020]]/C96</f>
        <v>5.2019532495427316E-3</v>
      </c>
      <c r="F37" s="16" t="s">
        <v>1866</v>
      </c>
      <c r="G37" s="17">
        <v>12975</v>
      </c>
      <c r="H37" s="80">
        <f>Table71[[#This Row],[BIDEN VOTES]]/C96</f>
        <v>0.21772691423489335</v>
      </c>
      <c r="I37" s="18">
        <v>0.46300000000000002</v>
      </c>
      <c r="J37" s="17">
        <v>14382</v>
      </c>
      <c r="K37" s="80">
        <f>Table71[[#This Row],[TRUMP VOTES]]/C96</f>
        <v>0.24133706979007602</v>
      </c>
      <c r="L37" s="18">
        <v>0.51400000000000001</v>
      </c>
      <c r="M37" s="80">
        <f>1-(Table71[[#This Row],[NbP]]+Table71[[#This Row],[NbP2]])</f>
        <v>0.5409360159750306</v>
      </c>
    </row>
    <row r="38" spans="1:13" ht="20">
      <c r="A38" s="107" t="s">
        <v>240</v>
      </c>
      <c r="B38" s="107" t="s">
        <v>297</v>
      </c>
      <c r="C38" s="109">
        <v>107</v>
      </c>
      <c r="D38" s="1">
        <f>Table70[[#This Row],[2020]]/C97</f>
        <v>1.0839394614745629E-3</v>
      </c>
      <c r="F38" s="16" t="s">
        <v>240</v>
      </c>
      <c r="G38" s="17">
        <v>24953</v>
      </c>
      <c r="H38" s="80">
        <f>Table71[[#This Row],[BIDEN VOTES]]/C97</f>
        <v>0.25278076058107257</v>
      </c>
      <c r="I38" s="18">
        <v>0.45400000000000001</v>
      </c>
      <c r="J38" s="17">
        <v>29283</v>
      </c>
      <c r="K38" s="80">
        <f>Table71[[#This Row],[TRUMP VOTES]]/C97</f>
        <v>0.29664485280709929</v>
      </c>
      <c r="L38" s="18">
        <v>0.53300000000000003</v>
      </c>
      <c r="M38" s="80">
        <f>1-(Table71[[#This Row],[NbP]]+Table71[[#This Row],[NbP2]])</f>
        <v>0.45057438661182814</v>
      </c>
    </row>
    <row r="39" spans="1:13" ht="20">
      <c r="A39" s="107" t="s">
        <v>2374</v>
      </c>
      <c r="B39" s="107" t="s">
        <v>297</v>
      </c>
      <c r="C39" s="109">
        <v>967</v>
      </c>
      <c r="D39" s="1">
        <f>Table70[[#This Row],[2020]]/C98</f>
        <v>6.0812637960418331E-3</v>
      </c>
      <c r="F39" s="16" t="s">
        <v>2374</v>
      </c>
      <c r="G39" s="17">
        <v>40969</v>
      </c>
      <c r="H39" s="80">
        <f>Table71[[#This Row],[BIDEN VOTES]]/C98</f>
        <v>0.2576456013030381</v>
      </c>
      <c r="I39" s="18">
        <v>0.51700000000000002</v>
      </c>
      <c r="J39" s="17">
        <v>36500</v>
      </c>
      <c r="K39" s="80">
        <f>Table71[[#This Row],[TRUMP VOTES]]/C98</f>
        <v>0.2295409809260878</v>
      </c>
      <c r="L39" s="18">
        <v>0.46100000000000002</v>
      </c>
      <c r="M39" s="80">
        <f>1-(Table71[[#This Row],[NbP]]+Table71[[#This Row],[NbP2]])</f>
        <v>0.51281341777087408</v>
      </c>
    </row>
    <row r="40" spans="1:13" ht="20">
      <c r="A40" s="107" t="s">
        <v>2375</v>
      </c>
      <c r="B40" s="107" t="s">
        <v>297</v>
      </c>
      <c r="C40" s="109">
        <v>311</v>
      </c>
      <c r="D40" s="1">
        <f>Table70[[#This Row],[2020]]/C99</f>
        <v>6.5391634917030426E-4</v>
      </c>
      <c r="F40" s="16" t="s">
        <v>1373</v>
      </c>
      <c r="G40" s="17">
        <v>90997</v>
      </c>
      <c r="H40" s="80">
        <f>Table71[[#This Row],[BIDEN VOTES]]/C99</f>
        <v>0.19133255956736389</v>
      </c>
      <c r="I40" s="18">
        <v>0.42099999999999999</v>
      </c>
      <c r="J40" s="17">
        <v>123320</v>
      </c>
      <c r="K40" s="80">
        <f>Table71[[#This Row],[TRUMP VOTES]]/C99</f>
        <v>0.25929570475781966</v>
      </c>
      <c r="L40" s="18">
        <v>0.57099999999999995</v>
      </c>
      <c r="M40" s="80">
        <f>1-(Table71[[#This Row],[NbP]]+Table71[[#This Row],[NbP2]])</f>
        <v>0.54937173567481645</v>
      </c>
    </row>
    <row r="41" spans="1:13" ht="20">
      <c r="A41" s="107" t="s">
        <v>2376</v>
      </c>
      <c r="B41" s="107" t="s">
        <v>297</v>
      </c>
      <c r="C41" s="109">
        <v>469</v>
      </c>
      <c r="D41" s="1">
        <f>Table70[[#This Row],[2020]]/C100</f>
        <v>1.4421317721001314E-3</v>
      </c>
      <c r="F41" s="16" t="s">
        <v>2375</v>
      </c>
      <c r="G41" s="17">
        <v>75802</v>
      </c>
      <c r="H41" s="80">
        <f>Table71[[#This Row],[BIDEN VOTES]]/C100</f>
        <v>0.23308416330220502</v>
      </c>
      <c r="I41" s="18">
        <v>0.504</v>
      </c>
      <c r="J41" s="17">
        <v>73186</v>
      </c>
      <c r="K41" s="80">
        <f>Table71[[#This Row],[TRUMP VOTES]]/C100</f>
        <v>0.22504020441987252</v>
      </c>
      <c r="L41" s="18">
        <v>0.48699999999999999</v>
      </c>
      <c r="M41" s="80">
        <f>1-(Table71[[#This Row],[NbP]]+Table71[[#This Row],[NbP2]])</f>
        <v>0.54187563227792246</v>
      </c>
    </row>
    <row r="42" spans="1:13" ht="20">
      <c r="A42" s="107" t="s">
        <v>2377</v>
      </c>
      <c r="B42" s="107" t="s">
        <v>297</v>
      </c>
      <c r="C42" s="109">
        <v>693</v>
      </c>
      <c r="D42" s="1">
        <f>Table70[[#This Row],[2020]]/C101</f>
        <v>3.022070270765286E-3</v>
      </c>
      <c r="F42" s="16" t="s">
        <v>2377</v>
      </c>
      <c r="G42" s="17">
        <v>68471</v>
      </c>
      <c r="H42" s="80">
        <f>Table71[[#This Row],[BIDEN VOTES]]/C101</f>
        <v>0.29859188096619033</v>
      </c>
      <c r="I42" s="18">
        <v>0.51600000000000001</v>
      </c>
      <c r="J42" s="17">
        <v>61305</v>
      </c>
      <c r="K42" s="80">
        <f>Table71[[#This Row],[TRUMP VOTES]]/C101</f>
        <v>0.26734201724280787</v>
      </c>
      <c r="L42" s="18">
        <v>0.46200000000000002</v>
      </c>
      <c r="M42" s="80">
        <f>1-(Table71[[#This Row],[NbP]]+Table71[[#This Row],[NbP2]])</f>
        <v>0.4340661017910018</v>
      </c>
    </row>
    <row r="43" spans="1:13" ht="20">
      <c r="A43" s="107" t="s">
        <v>2378</v>
      </c>
      <c r="B43" s="107" t="s">
        <v>297</v>
      </c>
      <c r="C43" s="109">
        <v>861</v>
      </c>
      <c r="D43" s="1">
        <f>Table70[[#This Row],[2020]]/C102</f>
        <v>5.5517583792218514E-3</v>
      </c>
      <c r="F43" s="16" t="s">
        <v>2378</v>
      </c>
      <c r="G43" s="17">
        <v>42465</v>
      </c>
      <c r="H43" s="80">
        <f>Table71[[#This Row],[BIDEN VOTES]]/C102</f>
        <v>0.27381581832015783</v>
      </c>
      <c r="I43" s="18">
        <v>0.56799999999999995</v>
      </c>
      <c r="J43" s="17">
        <v>30741</v>
      </c>
      <c r="K43" s="80">
        <f>Table71[[#This Row],[TRUMP VOTES]]/C102</f>
        <v>0.19821905265465611</v>
      </c>
      <c r="L43" s="18">
        <v>0.41099999999999998</v>
      </c>
      <c r="M43" s="80">
        <f>1-(Table71[[#This Row],[NbP]]+Table71[[#This Row],[NbP2]])</f>
        <v>0.52796512902518611</v>
      </c>
    </row>
    <row r="44" spans="1:13" ht="20">
      <c r="A44" s="107" t="s">
        <v>2379</v>
      </c>
      <c r="B44" s="107" t="s">
        <v>297</v>
      </c>
      <c r="C44" s="109">
        <v>178</v>
      </c>
      <c r="D44" s="1">
        <f>Table70[[#This Row],[2020]]/C103</f>
        <v>5.7071403379396583E-3</v>
      </c>
      <c r="F44" s="16" t="s">
        <v>2379</v>
      </c>
      <c r="G44" s="17">
        <v>5345</v>
      </c>
      <c r="H44" s="80">
        <f>Table71[[#This Row],[BIDEN VOTES]]/C103</f>
        <v>0.17137452306903075</v>
      </c>
      <c r="I44" s="18">
        <v>0.34100000000000003</v>
      </c>
      <c r="J44" s="17">
        <v>9903</v>
      </c>
      <c r="K44" s="80">
        <f>Table71[[#This Row],[TRUMP VOTES]]/C103</f>
        <v>0.31751579082368786</v>
      </c>
      <c r="L44" s="18">
        <v>0.63100000000000001</v>
      </c>
      <c r="M44" s="80">
        <f>1-(Table71[[#This Row],[NbP]]+Table71[[#This Row],[NbP2]])</f>
        <v>0.51110968610728136</v>
      </c>
    </row>
    <row r="45" spans="1:13" ht="20">
      <c r="A45" s="107" t="s">
        <v>1411</v>
      </c>
      <c r="B45" s="107" t="s">
        <v>297</v>
      </c>
      <c r="C45" s="109">
        <v>129</v>
      </c>
      <c r="D45" s="1">
        <f>Table70[[#This Row],[2020]]/C104</f>
        <v>7.2289156626506026E-3</v>
      </c>
      <c r="F45" s="16" t="s">
        <v>1411</v>
      </c>
      <c r="G45" s="17">
        <v>3903</v>
      </c>
      <c r="H45" s="80">
        <f>Table71[[#This Row],[BIDEN VOTES]]/C104</f>
        <v>0.21871672737461473</v>
      </c>
      <c r="I45" s="18">
        <v>0.40100000000000002</v>
      </c>
      <c r="J45" s="17">
        <v>5621</v>
      </c>
      <c r="K45" s="80">
        <f>Table71[[#This Row],[TRUMP VOTES]]/C104</f>
        <v>0.31499019333146538</v>
      </c>
      <c r="L45" s="18">
        <v>0.57699999999999996</v>
      </c>
      <c r="M45" s="80">
        <f>1-(Table71[[#This Row],[NbP]]+Table71[[#This Row],[NbP2]])</f>
        <v>0.46629307929391994</v>
      </c>
    </row>
    <row r="46" spans="1:13" ht="20">
      <c r="A46" s="107" t="s">
        <v>2380</v>
      </c>
      <c r="B46" s="107" t="s">
        <v>297</v>
      </c>
      <c r="C46" s="109">
        <v>237</v>
      </c>
      <c r="D46" s="1">
        <f>Table70[[#This Row],[2020]]/C105</f>
        <v>6.9106283714827233E-3</v>
      </c>
      <c r="F46" s="16" t="s">
        <v>2380</v>
      </c>
      <c r="G46" s="17">
        <v>6914</v>
      </c>
      <c r="H46" s="80">
        <f>Table71[[#This Row],[BIDEN VOTES]]/C105</f>
        <v>0.20160373232249598</v>
      </c>
      <c r="I46" s="18">
        <v>0.443</v>
      </c>
      <c r="J46" s="17">
        <v>8329</v>
      </c>
      <c r="K46" s="80">
        <f>Table71[[#This Row],[TRUMP VOTES]]/C105</f>
        <v>0.24286339116489283</v>
      </c>
      <c r="L46" s="18">
        <v>0.53400000000000003</v>
      </c>
      <c r="M46" s="80">
        <f>1-(Table71[[#This Row],[NbP]]+Table71[[#This Row],[NbP2]])</f>
        <v>0.55553287651261118</v>
      </c>
    </row>
    <row r="47" spans="1:13" ht="20">
      <c r="A47" s="107" t="s">
        <v>1479</v>
      </c>
      <c r="B47" s="107" t="s">
        <v>297</v>
      </c>
      <c r="C47" s="109">
        <v>469</v>
      </c>
      <c r="D47" s="1">
        <f>Table70[[#This Row],[2020]]/C106</f>
        <v>4.8934194463862773E-3</v>
      </c>
      <c r="F47" s="16" t="s">
        <v>1479</v>
      </c>
      <c r="G47" s="17">
        <v>15790</v>
      </c>
      <c r="H47" s="80">
        <f>Table71[[#This Row],[BIDEN VOTES]]/C106</f>
        <v>0.16474859927172564</v>
      </c>
      <c r="I47" s="18">
        <v>0.34200000000000003</v>
      </c>
      <c r="J47" s="17">
        <v>29474</v>
      </c>
      <c r="K47" s="80">
        <f>Table71[[#This Row],[TRUMP VOTES]]/C106</f>
        <v>0.30752376282044591</v>
      </c>
      <c r="L47" s="18">
        <v>0.63800000000000001</v>
      </c>
      <c r="M47" s="80">
        <f>1-(Table71[[#This Row],[NbP]]+Table71[[#This Row],[NbP2]])</f>
        <v>0.5277276379078284</v>
      </c>
    </row>
    <row r="48" spans="1:13" ht="20">
      <c r="A48" s="107" t="s">
        <v>2381</v>
      </c>
      <c r="B48" s="107" t="s">
        <v>297</v>
      </c>
      <c r="C48" s="108">
        <v>3234</v>
      </c>
      <c r="D48" s="1">
        <f>Table70[[#This Row],[2020]]/C107</f>
        <v>2.1831231216635481E-3</v>
      </c>
      <c r="F48" s="16" t="s">
        <v>2381</v>
      </c>
      <c r="G48" s="17">
        <v>381021</v>
      </c>
      <c r="H48" s="80">
        <f>Table71[[#This Row],[BIDEN VOTES]]/C107</f>
        <v>0.2572095717190373</v>
      </c>
      <c r="I48" s="18">
        <v>0.49399999999999999</v>
      </c>
      <c r="J48" s="17">
        <v>381253</v>
      </c>
      <c r="K48" s="80">
        <f>Table71[[#This Row],[TRUMP VOTES]]/C107</f>
        <v>0.25736618413840218</v>
      </c>
      <c r="L48" s="18">
        <v>0.49399999999999999</v>
      </c>
      <c r="M48" s="80">
        <f>1-(Table71[[#This Row],[NbP]]+Table71[[#This Row],[NbP2]])</f>
        <v>0.48542424414256047</v>
      </c>
    </row>
    <row r="49" spans="1:13" ht="20">
      <c r="A49" s="107" t="s">
        <v>250</v>
      </c>
      <c r="B49" s="107" t="s">
        <v>297</v>
      </c>
      <c r="C49" s="109">
        <v>291</v>
      </c>
      <c r="D49" s="1">
        <f>Table70[[#This Row],[2020]]/C108</f>
        <v>3.8630540694818728E-3</v>
      </c>
      <c r="F49" s="16" t="s">
        <v>250</v>
      </c>
      <c r="G49" s="17">
        <v>15489</v>
      </c>
      <c r="H49" s="80">
        <f>Table71[[#This Row],[BIDEN VOTES]]/C108</f>
        <v>0.20561802227561762</v>
      </c>
      <c r="I49" s="18">
        <v>0.44700000000000001</v>
      </c>
      <c r="J49" s="17">
        <v>18665</v>
      </c>
      <c r="K49" s="80">
        <f>Table71[[#This Row],[TRUMP VOTES]]/C108</f>
        <v>0.24777973954254007</v>
      </c>
      <c r="L49" s="18">
        <v>0.53900000000000003</v>
      </c>
      <c r="M49" s="80">
        <f>1-(Table71[[#This Row],[NbP]]+Table71[[#This Row],[NbP2]])</f>
        <v>0.54660223818184228</v>
      </c>
    </row>
    <row r="50" spans="1:13" ht="20">
      <c r="A50" s="107" t="s">
        <v>2382</v>
      </c>
      <c r="B50" s="107" t="s">
        <v>297</v>
      </c>
      <c r="C50" s="109">
        <v>276</v>
      </c>
      <c r="D50" s="1">
        <f>Table70[[#This Row],[2020]]/C109</f>
        <v>5.6988292622493861E-3</v>
      </c>
      <c r="F50" s="16" t="s">
        <v>2382</v>
      </c>
      <c r="G50" s="17">
        <v>9634</v>
      </c>
      <c r="H50" s="80">
        <f>Table71[[#This Row],[BIDEN VOTES]]/C109</f>
        <v>0.19892217794387893</v>
      </c>
      <c r="I50" s="18">
        <v>0.38500000000000001</v>
      </c>
      <c r="J50" s="17">
        <v>14791</v>
      </c>
      <c r="K50" s="80">
        <f>Table71[[#This Row],[TRUMP VOTES]]/C109</f>
        <v>0.30540356383308209</v>
      </c>
      <c r="L50" s="18">
        <v>0.59099999999999997</v>
      </c>
      <c r="M50" s="80">
        <f>1-(Table71[[#This Row],[NbP]]+Table71[[#This Row],[NbP2]])</f>
        <v>0.49567425822303901</v>
      </c>
    </row>
    <row r="51" spans="1:13" ht="20">
      <c r="A51" s="107" t="s">
        <v>2383</v>
      </c>
      <c r="B51" s="107" t="s">
        <v>297</v>
      </c>
      <c r="C51" s="109">
        <v>187</v>
      </c>
      <c r="D51" s="1">
        <f>Table70[[#This Row],[2020]]/C110</f>
        <v>1.8290834042469948E-3</v>
      </c>
      <c r="F51" s="16" t="s">
        <v>2383</v>
      </c>
      <c r="G51" s="17">
        <v>33619</v>
      </c>
      <c r="H51" s="80">
        <f>Table71[[#This Row],[BIDEN VOTES]]/C110</f>
        <v>0.32883398378277923</v>
      </c>
      <c r="I51" s="18">
        <v>0.73599999999999999</v>
      </c>
      <c r="J51" s="17">
        <v>11096</v>
      </c>
      <c r="K51" s="80">
        <f>Table71[[#This Row],[TRUMP VOTES]]/C110</f>
        <v>0.10853213611510509</v>
      </c>
      <c r="L51" s="18">
        <v>0.24299999999999999</v>
      </c>
      <c r="M51" s="80">
        <f>1-(Table71[[#This Row],[NbP]]+Table71[[#This Row],[NbP2]])</f>
        <v>0.56263388010211568</v>
      </c>
    </row>
    <row r="52" spans="1:13" ht="20">
      <c r="A52" s="107" t="s">
        <v>2384</v>
      </c>
      <c r="B52" s="107" t="s">
        <v>297</v>
      </c>
      <c r="C52" s="109">
        <v>398</v>
      </c>
      <c r="D52" s="1">
        <f>Table70[[#This Row],[2020]]/C111</f>
        <v>2.2313044160766045E-3</v>
      </c>
      <c r="F52" s="16" t="s">
        <v>2384</v>
      </c>
      <c r="G52" s="17">
        <v>57970</v>
      </c>
      <c r="H52" s="80">
        <f>Table71[[#This Row],[BIDEN VOTES]]/C111</f>
        <v>0.32499677638181096</v>
      </c>
      <c r="I52" s="18">
        <v>0.59499999999999997</v>
      </c>
      <c r="J52" s="17">
        <v>37590</v>
      </c>
      <c r="K52" s="80">
        <f>Table71[[#This Row],[TRUMP VOTES]]/C111</f>
        <v>0.21074053517668231</v>
      </c>
      <c r="L52" s="18">
        <v>0.38600000000000001</v>
      </c>
      <c r="M52" s="80">
        <f>1-(Table71[[#This Row],[NbP]]+Table71[[#This Row],[NbP2]])</f>
        <v>0.46426268844150675</v>
      </c>
    </row>
    <row r="53" spans="1:13" ht="20">
      <c r="A53" s="107" t="s">
        <v>257</v>
      </c>
      <c r="B53" s="107" t="s">
        <v>297</v>
      </c>
      <c r="C53" s="109">
        <v>187</v>
      </c>
      <c r="D53" s="1">
        <f>Table70[[#This Row],[2020]]/C112</f>
        <v>2.913362518890118E-3</v>
      </c>
      <c r="F53" s="16" t="s">
        <v>257</v>
      </c>
      <c r="G53" s="17">
        <v>17642</v>
      </c>
      <c r="H53" s="80">
        <f>Table71[[#This Row],[BIDEN VOTES]]/C112</f>
        <v>0.27485316341315219</v>
      </c>
      <c r="I53" s="18">
        <v>0.48799999999999999</v>
      </c>
      <c r="J53" s="17">
        <v>17699</v>
      </c>
      <c r="K53" s="80">
        <f>Table71[[#This Row],[TRUMP VOTES]]/C112</f>
        <v>0.27574119369965883</v>
      </c>
      <c r="L53" s="18">
        <v>0.49</v>
      </c>
      <c r="M53" s="80">
        <f>1-(Table71[[#This Row],[NbP]]+Table71[[#This Row],[NbP2]])</f>
        <v>0.44940564288718898</v>
      </c>
    </row>
    <row r="54" spans="1:13" ht="20">
      <c r="A54" s="107" t="s">
        <v>258</v>
      </c>
      <c r="B54" s="107" t="s">
        <v>297</v>
      </c>
      <c r="C54" s="109">
        <v>422</v>
      </c>
      <c r="D54" s="1">
        <f>Table70[[#This Row],[2020]]/C113</f>
        <v>6.8837269998695029E-3</v>
      </c>
      <c r="F54" s="16" t="s">
        <v>258</v>
      </c>
      <c r="G54" s="17">
        <v>11565</v>
      </c>
      <c r="H54" s="80">
        <f>Table71[[#This Row],[BIDEN VOTES]]/C113</f>
        <v>0.18865000652485972</v>
      </c>
      <c r="I54" s="18">
        <v>0.41199999999999998</v>
      </c>
      <c r="J54" s="17">
        <v>15941</v>
      </c>
      <c r="K54" s="80">
        <f>Table71[[#This Row],[TRUMP VOTES]]/C113</f>
        <v>0.26003197181260601</v>
      </c>
      <c r="L54" s="18">
        <v>0.56699999999999995</v>
      </c>
      <c r="M54" s="80">
        <f>1-(Table71[[#This Row],[NbP]]+Table71[[#This Row],[NbP2]])</f>
        <v>0.5513180216625343</v>
      </c>
    </row>
    <row r="55" spans="1:13" ht="20">
      <c r="A55" s="107" t="s">
        <v>259</v>
      </c>
      <c r="B55" s="107" t="s">
        <v>297</v>
      </c>
      <c r="C55" s="109">
        <v>452</v>
      </c>
      <c r="D55" s="1">
        <f>Table70[[#This Row],[2020]]/C114</f>
        <v>5.016481138252888E-3</v>
      </c>
      <c r="F55" s="16" t="s">
        <v>259</v>
      </c>
      <c r="G55" s="17">
        <v>17456</v>
      </c>
      <c r="H55" s="80">
        <f>Table71[[#This Row],[BIDEN VOTES]]/C114</f>
        <v>0.19373383794102306</v>
      </c>
      <c r="I55" s="18">
        <v>0.39</v>
      </c>
      <c r="J55" s="17">
        <v>26204</v>
      </c>
      <c r="K55" s="80">
        <f>Table71[[#This Row],[TRUMP VOTES]]/C114</f>
        <v>0.29082272510349266</v>
      </c>
      <c r="L55" s="18">
        <v>0.58599999999999997</v>
      </c>
      <c r="M55" s="80">
        <f>1-(Table71[[#This Row],[NbP]]+Table71[[#This Row],[NbP2]])</f>
        <v>0.51544343695548434</v>
      </c>
    </row>
    <row r="56" spans="1:13" ht="20">
      <c r="A56" s="107" t="s">
        <v>2385</v>
      </c>
      <c r="B56" s="107" t="s">
        <v>297</v>
      </c>
      <c r="C56" s="108">
        <v>1108</v>
      </c>
      <c r="D56" s="1">
        <f>Table70[[#This Row],[2020]]/C115</f>
        <v>1.1437561033014086E-3</v>
      </c>
      <c r="F56" s="16" t="s">
        <v>2385</v>
      </c>
      <c r="G56" s="17">
        <v>312371</v>
      </c>
      <c r="H56" s="80">
        <f>Table71[[#This Row],[BIDEN VOTES]]/C115</f>
        <v>0.32245147810863206</v>
      </c>
      <c r="I56" s="18">
        <v>0.67600000000000005</v>
      </c>
      <c r="J56" s="17">
        <v>144713</v>
      </c>
      <c r="K56" s="80">
        <f>Table71[[#This Row],[TRUMP VOTES]]/C115</f>
        <v>0.14938301171214508</v>
      </c>
      <c r="L56" s="18">
        <v>0.313</v>
      </c>
      <c r="M56" s="80">
        <f>1-(Table71[[#This Row],[NbP]]+Table71[[#This Row],[NbP2]])</f>
        <v>0.52816551017922286</v>
      </c>
    </row>
    <row r="57" spans="1:13" ht="20">
      <c r="A57" s="107" t="s">
        <v>856</v>
      </c>
      <c r="B57" s="107" t="s">
        <v>297</v>
      </c>
      <c r="C57" s="109">
        <v>190</v>
      </c>
      <c r="D57" s="1">
        <f>Table70[[#This Row],[2020]]/C116</f>
        <v>4.7467959127588874E-3</v>
      </c>
      <c r="F57" s="16" t="s">
        <v>856</v>
      </c>
      <c r="G57" s="17">
        <v>5073</v>
      </c>
      <c r="H57" s="80">
        <f>Table71[[#This Row],[BIDEN VOTES]]/C116</f>
        <v>0.1267394508706623</v>
      </c>
      <c r="I57" s="18">
        <v>0.26200000000000001</v>
      </c>
      <c r="J57" s="17">
        <v>13898</v>
      </c>
      <c r="K57" s="80">
        <f>Table71[[#This Row],[TRUMP VOTES]]/C116</f>
        <v>0.34721562945012119</v>
      </c>
      <c r="L57" s="18">
        <v>0.71699999999999997</v>
      </c>
      <c r="M57" s="80">
        <f>1-(Table71[[#This Row],[NbP]]+Table71[[#This Row],[NbP2]])</f>
        <v>0.52604491967921652</v>
      </c>
    </row>
    <row r="58" spans="1:13" ht="20">
      <c r="A58" s="107" t="s">
        <v>2386</v>
      </c>
      <c r="B58" s="107" t="s">
        <v>297</v>
      </c>
      <c r="C58" s="109">
        <v>198</v>
      </c>
      <c r="D58" s="1">
        <f>Table70[[#This Row],[2020]]/C117</f>
        <v>7.9260237780713338E-3</v>
      </c>
      <c r="F58" s="16" t="s">
        <v>2386</v>
      </c>
      <c r="G58" s="17">
        <v>4219</v>
      </c>
      <c r="H58" s="80">
        <f>Table71[[#This Row],[BIDEN VOTES]]/C117</f>
        <v>0.16888835514991393</v>
      </c>
      <c r="I58" s="18">
        <v>0.39500000000000002</v>
      </c>
      <c r="J58" s="17">
        <v>6208</v>
      </c>
      <c r="K58" s="80">
        <f>Table71[[#This Row],[TRUMP VOTES]]/C117</f>
        <v>0.24850886673872144</v>
      </c>
      <c r="L58" s="18">
        <v>0.58099999999999996</v>
      </c>
      <c r="M58" s="80">
        <f>1-(Table71[[#This Row],[NbP]]+Table71[[#This Row],[NbP2]])</f>
        <v>0.58260277811136463</v>
      </c>
    </row>
    <row r="60" spans="1:13" ht="21">
      <c r="A60" s="77" t="s">
        <v>1670</v>
      </c>
      <c r="B60" s="77" t="s">
        <v>69</v>
      </c>
      <c r="C60" s="77" t="s">
        <v>54</v>
      </c>
    </row>
    <row r="61" spans="1:13" ht="21">
      <c r="A61" s="52">
        <v>14</v>
      </c>
      <c r="B61" s="53" t="s">
        <v>2356</v>
      </c>
      <c r="C61" s="54">
        <v>306165</v>
      </c>
    </row>
    <row r="62" spans="1:13" ht="21">
      <c r="A62" s="52">
        <v>52</v>
      </c>
      <c r="B62" s="53" t="s">
        <v>1740</v>
      </c>
      <c r="C62" s="54">
        <v>46304</v>
      </c>
      <c r="F62" t="s">
        <v>2387</v>
      </c>
    </row>
    <row r="63" spans="1:13" ht="21">
      <c r="A63" s="52">
        <v>19</v>
      </c>
      <c r="B63" s="53" t="s">
        <v>2357</v>
      </c>
      <c r="C63" s="54">
        <v>192042</v>
      </c>
      <c r="F63" t="s">
        <v>5</v>
      </c>
    </row>
    <row r="64" spans="1:13" ht="21">
      <c r="A64" s="52">
        <v>35</v>
      </c>
      <c r="B64" s="53" t="s">
        <v>2358</v>
      </c>
      <c r="C64" s="54">
        <v>76750</v>
      </c>
      <c r="F64" t="s">
        <v>1056</v>
      </c>
    </row>
    <row r="65" spans="1:6" ht="21">
      <c r="A65" s="52">
        <v>34</v>
      </c>
      <c r="B65" s="53" t="s">
        <v>2359</v>
      </c>
      <c r="C65" s="54">
        <v>76958</v>
      </c>
      <c r="F65" t="s">
        <v>2388</v>
      </c>
    </row>
    <row r="66" spans="1:6" ht="21">
      <c r="A66" s="52">
        <v>23</v>
      </c>
      <c r="B66" s="53" t="s">
        <v>2360</v>
      </c>
      <c r="C66" s="54">
        <v>127584</v>
      </c>
    </row>
    <row r="67" spans="1:6" ht="21">
      <c r="A67" s="52">
        <v>32</v>
      </c>
      <c r="B67" s="53" t="s">
        <v>2361</v>
      </c>
      <c r="C67" s="54">
        <v>84115</v>
      </c>
    </row>
    <row r="68" spans="1:6" ht="21">
      <c r="A68" s="52">
        <v>50</v>
      </c>
      <c r="B68" s="53" t="s">
        <v>2362</v>
      </c>
      <c r="C68" s="54">
        <v>47527</v>
      </c>
    </row>
    <row r="69" spans="1:6" ht="21">
      <c r="A69" s="52">
        <v>33</v>
      </c>
      <c r="B69" s="53" t="s">
        <v>1405</v>
      </c>
      <c r="C69" s="54">
        <v>80320</v>
      </c>
    </row>
    <row r="70" spans="1:6" ht="21">
      <c r="A70" s="52">
        <v>42</v>
      </c>
      <c r="B70" s="53" t="s">
        <v>271</v>
      </c>
      <c r="C70" s="54">
        <v>60016</v>
      </c>
    </row>
    <row r="71" spans="1:6" ht="21">
      <c r="A71" s="52">
        <v>49</v>
      </c>
      <c r="B71" s="53" t="s">
        <v>2363</v>
      </c>
      <c r="C71" s="54">
        <v>47618</v>
      </c>
    </row>
    <row r="72" spans="1:6" ht="21">
      <c r="A72" s="52">
        <v>53</v>
      </c>
      <c r="B72" s="53" t="s">
        <v>1457</v>
      </c>
      <c r="C72" s="54">
        <v>44676</v>
      </c>
    </row>
    <row r="73" spans="1:6" ht="21">
      <c r="A73" s="52">
        <v>15</v>
      </c>
      <c r="B73" s="53" t="s">
        <v>2364</v>
      </c>
      <c r="C73" s="54">
        <v>293524</v>
      </c>
    </row>
    <row r="74" spans="1:6" ht="21">
      <c r="A74" s="52">
        <v>8</v>
      </c>
      <c r="B74" s="53" t="s">
        <v>2365</v>
      </c>
      <c r="C74" s="54">
        <v>918873</v>
      </c>
    </row>
    <row r="75" spans="1:6" ht="21">
      <c r="A75" s="52">
        <v>56</v>
      </c>
      <c r="B75" s="53" t="s">
        <v>790</v>
      </c>
      <c r="C75" s="54">
        <v>37281</v>
      </c>
    </row>
    <row r="76" spans="1:6" ht="21">
      <c r="A76" s="52">
        <v>46</v>
      </c>
      <c r="B76" s="53" t="s">
        <v>195</v>
      </c>
      <c r="C76" s="54">
        <v>50389</v>
      </c>
    </row>
    <row r="77" spans="1:6" ht="21">
      <c r="A77" s="52">
        <v>45</v>
      </c>
      <c r="B77" s="53" t="s">
        <v>1343</v>
      </c>
      <c r="C77" s="54">
        <v>53452</v>
      </c>
    </row>
    <row r="78" spans="1:6" ht="21">
      <c r="A78" s="52">
        <v>44</v>
      </c>
      <c r="B78" s="53" t="s">
        <v>1830</v>
      </c>
      <c r="C78" s="54">
        <v>57554</v>
      </c>
    </row>
    <row r="79" spans="1:6" ht="21">
      <c r="A79" s="52">
        <v>51</v>
      </c>
      <c r="B79" s="53" t="s">
        <v>199</v>
      </c>
      <c r="C79" s="54">
        <v>47335</v>
      </c>
    </row>
    <row r="80" spans="1:6" ht="21">
      <c r="A80" s="52">
        <v>62</v>
      </c>
      <c r="B80" s="53" t="s">
        <v>202</v>
      </c>
      <c r="C80" s="54">
        <v>4454</v>
      </c>
    </row>
    <row r="81" spans="1:3" ht="21">
      <c r="A81" s="52">
        <v>40</v>
      </c>
      <c r="B81" s="53" t="s">
        <v>2366</v>
      </c>
      <c r="C81" s="54">
        <v>61738</v>
      </c>
    </row>
    <row r="82" spans="1:3" ht="21">
      <c r="A82" s="52">
        <v>25</v>
      </c>
      <c r="B82" s="53" t="s">
        <v>214</v>
      </c>
      <c r="C82" s="54">
        <v>111454</v>
      </c>
    </row>
    <row r="83" spans="1:3" ht="21">
      <c r="A83" s="52">
        <v>59</v>
      </c>
      <c r="B83" s="53" t="s">
        <v>220</v>
      </c>
      <c r="C83" s="54">
        <v>26456</v>
      </c>
    </row>
    <row r="84" spans="1:3" ht="21">
      <c r="A84" s="52">
        <v>39</v>
      </c>
      <c r="B84" s="53" t="s">
        <v>1407</v>
      </c>
      <c r="C84" s="54">
        <v>63218</v>
      </c>
    </row>
    <row r="85" spans="1:3" ht="21">
      <c r="A85" s="52">
        <v>37</v>
      </c>
      <c r="B85" s="53" t="s">
        <v>226</v>
      </c>
      <c r="C85" s="54">
        <v>70990</v>
      </c>
    </row>
    <row r="86" spans="1:3" ht="21">
      <c r="A86" s="52">
        <v>9</v>
      </c>
      <c r="B86" s="53" t="s">
        <v>231</v>
      </c>
      <c r="C86" s="54">
        <v>743084</v>
      </c>
    </row>
    <row r="87" spans="1:3" ht="21">
      <c r="A87" s="52">
        <v>47</v>
      </c>
      <c r="B87" s="53" t="s">
        <v>232</v>
      </c>
      <c r="C87" s="54">
        <v>49294</v>
      </c>
    </row>
    <row r="88" spans="1:3" ht="21">
      <c r="A88" s="52">
        <v>6</v>
      </c>
      <c r="B88" s="53" t="s">
        <v>2367</v>
      </c>
      <c r="C88" s="54">
        <v>1355683</v>
      </c>
    </row>
    <row r="89" spans="1:3" ht="21">
      <c r="A89" s="52">
        <v>18</v>
      </c>
      <c r="B89" s="53" t="s">
        <v>2368</v>
      </c>
      <c r="C89" s="54">
        <v>210145</v>
      </c>
    </row>
    <row r="90" spans="1:3" ht="21">
      <c r="A90" s="52">
        <v>17</v>
      </c>
      <c r="B90" s="53" t="s">
        <v>2369</v>
      </c>
      <c r="C90" s="54">
        <v>229074</v>
      </c>
    </row>
    <row r="91" spans="1:3" ht="21">
      <c r="A91" s="52">
        <v>11</v>
      </c>
      <c r="B91" s="53" t="s">
        <v>2370</v>
      </c>
      <c r="C91" s="54">
        <v>461591</v>
      </c>
    </row>
    <row r="92" spans="1:3" ht="21">
      <c r="A92" s="52">
        <v>26</v>
      </c>
      <c r="B92" s="53" t="s">
        <v>2371</v>
      </c>
      <c r="C92" s="54">
        <v>109774</v>
      </c>
    </row>
    <row r="93" spans="1:3" ht="21">
      <c r="A93" s="52">
        <v>12</v>
      </c>
      <c r="B93" s="53" t="s">
        <v>491</v>
      </c>
      <c r="C93" s="54">
        <v>382077</v>
      </c>
    </row>
    <row r="94" spans="1:3" ht="21">
      <c r="A94" s="52">
        <v>54</v>
      </c>
      <c r="B94" s="53" t="s">
        <v>2372</v>
      </c>
      <c r="C94" s="54">
        <v>40624</v>
      </c>
    </row>
    <row r="95" spans="1:3" ht="21">
      <c r="A95" s="52">
        <v>24</v>
      </c>
      <c r="B95" s="53" t="s">
        <v>2373</v>
      </c>
      <c r="C95" s="54">
        <v>117630</v>
      </c>
    </row>
    <row r="96" spans="1:3" ht="21">
      <c r="A96" s="52">
        <v>43</v>
      </c>
      <c r="B96" s="53" t="s">
        <v>1866</v>
      </c>
      <c r="C96" s="54">
        <v>59593</v>
      </c>
    </row>
    <row r="97" spans="1:3" ht="21">
      <c r="A97" s="52">
        <v>29</v>
      </c>
      <c r="B97" s="53" t="s">
        <v>240</v>
      </c>
      <c r="C97" s="54">
        <v>98714</v>
      </c>
    </row>
    <row r="98" spans="1:3" ht="21">
      <c r="A98" s="52">
        <v>21</v>
      </c>
      <c r="B98" s="53" t="s">
        <v>2374</v>
      </c>
      <c r="C98" s="54">
        <v>159013</v>
      </c>
    </row>
    <row r="99" spans="1:3" ht="21">
      <c r="A99" s="52">
        <v>10</v>
      </c>
      <c r="B99" s="53" t="s">
        <v>1373</v>
      </c>
      <c r="C99" s="54">
        <v>475596</v>
      </c>
    </row>
    <row r="100" spans="1:3" ht="21">
      <c r="A100" s="52">
        <v>13</v>
      </c>
      <c r="B100" s="53" t="s">
        <v>2375</v>
      </c>
      <c r="C100" s="54">
        <v>325213</v>
      </c>
    </row>
    <row r="101" spans="1:3" ht="21">
      <c r="A101" s="52">
        <v>16</v>
      </c>
      <c r="B101" s="53" t="s">
        <v>2377</v>
      </c>
      <c r="C101" s="54">
        <v>229313</v>
      </c>
    </row>
    <row r="102" spans="1:3" ht="21">
      <c r="A102" s="52">
        <v>22</v>
      </c>
      <c r="B102" s="53" t="s">
        <v>2378</v>
      </c>
      <c r="C102" s="54">
        <v>155086</v>
      </c>
    </row>
    <row r="103" spans="1:3" ht="21">
      <c r="A103" s="52">
        <v>58</v>
      </c>
      <c r="B103" s="53" t="s">
        <v>2379</v>
      </c>
      <c r="C103" s="54">
        <v>31189</v>
      </c>
    </row>
    <row r="104" spans="1:3" ht="21">
      <c r="A104" s="52">
        <v>61</v>
      </c>
      <c r="B104" s="53" t="s">
        <v>1411</v>
      </c>
      <c r="C104" s="54">
        <v>17845</v>
      </c>
    </row>
    <row r="105" spans="1:3" ht="21">
      <c r="A105" s="52">
        <v>57</v>
      </c>
      <c r="B105" s="53" t="s">
        <v>2380</v>
      </c>
      <c r="C105" s="54">
        <v>34295</v>
      </c>
    </row>
    <row r="106" spans="1:3" ht="21">
      <c r="A106" s="52">
        <v>30</v>
      </c>
      <c r="B106" s="53" t="s">
        <v>1479</v>
      </c>
      <c r="C106" s="54">
        <v>95843</v>
      </c>
    </row>
    <row r="107" spans="1:3" ht="21">
      <c r="A107" s="52">
        <v>4</v>
      </c>
      <c r="B107" s="53" t="s">
        <v>2381</v>
      </c>
      <c r="C107" s="54">
        <v>1481364</v>
      </c>
    </row>
    <row r="108" spans="1:3" ht="21">
      <c r="A108" s="52">
        <v>36</v>
      </c>
      <c r="B108" s="53" t="s">
        <v>250</v>
      </c>
      <c r="C108" s="54">
        <v>75329</v>
      </c>
    </row>
    <row r="109" spans="1:3" ht="21">
      <c r="A109" s="52">
        <v>48</v>
      </c>
      <c r="B109" s="53" t="s">
        <v>2382</v>
      </c>
      <c r="C109" s="54">
        <v>48431</v>
      </c>
    </row>
    <row r="110" spans="1:3" ht="21">
      <c r="A110" s="52">
        <v>28</v>
      </c>
      <c r="B110" s="53" t="s">
        <v>2383</v>
      </c>
      <c r="C110" s="54">
        <v>102237</v>
      </c>
    </row>
    <row r="111" spans="1:3" ht="21">
      <c r="A111" s="52">
        <v>20</v>
      </c>
      <c r="B111" s="53" t="s">
        <v>2384</v>
      </c>
      <c r="C111" s="54">
        <v>178371</v>
      </c>
    </row>
    <row r="112" spans="1:3" ht="21">
      <c r="A112" s="52">
        <v>38</v>
      </c>
      <c r="B112" s="53" t="s">
        <v>257</v>
      </c>
      <c r="C112" s="54">
        <v>64187</v>
      </c>
    </row>
    <row r="113" spans="1:3" ht="21">
      <c r="A113" s="52">
        <v>41</v>
      </c>
      <c r="B113" s="53" t="s">
        <v>258</v>
      </c>
      <c r="C113" s="54">
        <v>61304</v>
      </c>
    </row>
    <row r="114" spans="1:3" ht="21">
      <c r="A114" s="52">
        <v>31</v>
      </c>
      <c r="B114" s="53" t="s">
        <v>259</v>
      </c>
      <c r="C114" s="54">
        <v>90103</v>
      </c>
    </row>
    <row r="115" spans="1:3" ht="21">
      <c r="A115" s="52">
        <v>7</v>
      </c>
      <c r="B115" s="53" t="s">
        <v>2385</v>
      </c>
      <c r="C115" s="54">
        <v>968738</v>
      </c>
    </row>
    <row r="116" spans="1:3" ht="21">
      <c r="A116" s="52">
        <v>55</v>
      </c>
      <c r="B116" s="53" t="s">
        <v>856</v>
      </c>
      <c r="C116" s="54">
        <v>40027</v>
      </c>
    </row>
    <row r="117" spans="1:3" ht="21">
      <c r="A117" s="52">
        <v>60</v>
      </c>
      <c r="B117" s="53" t="s">
        <v>2386</v>
      </c>
      <c r="C117" s="54">
        <v>24981</v>
      </c>
    </row>
  </sheetData>
  <hyperlinks>
    <hyperlink ref="B107" r:id="rId1" display="https://www.newyork-demographics.com/suffolk-county-demographics" xr:uid="{48298E0F-8477-824A-9092-FD710FE7B80C}"/>
    <hyperlink ref="B88" r:id="rId2" display="https://www.newyork-demographics.com/nassau-county-demographics" xr:uid="{C7FCBBE7-984C-1B45-9E60-96AFA38A520A}"/>
    <hyperlink ref="B115" r:id="rId3" display="https://www.newyork-demographics.com/westchester-county-demographics" xr:uid="{7AD3A3EE-2E1A-604C-99DA-8F279030ECB1}"/>
    <hyperlink ref="B74" r:id="rId4" display="https://www.newyork-demographics.com/erie-county-demographics" xr:uid="{8B6B04ED-8038-B74A-9BB7-D28970E7C6BC}"/>
    <hyperlink ref="B86" r:id="rId5" display="https://www.newyork-demographics.com/monroe-county-demographics" xr:uid="{E52ECF8C-0C80-4549-B9D6-3F23224F69A2}"/>
    <hyperlink ref="B99" r:id="rId6" display="https://www.newyork-demographics.com/richmond-county-demographics" xr:uid="{4618545A-50F1-3E4B-92C0-600B09B6725C}"/>
    <hyperlink ref="B91" r:id="rId7" display="https://www.newyork-demographics.com/onondaga-county-demographics" xr:uid="{94CA97A6-28E4-E14B-9B8D-6ED295A07005}"/>
    <hyperlink ref="B93" r:id="rId8" display="https://www.newyork-demographics.com/orange-county-demographics" xr:uid="{4D268B9A-1C42-1E4C-B1AB-1301A06EF260}"/>
    <hyperlink ref="B100" r:id="rId9" display="https://www.newyork-demographics.com/rockland-county-demographics" xr:uid="{93C2F6F2-E98E-1C45-942B-67E61D9BFBA7}"/>
    <hyperlink ref="B61" r:id="rId10" display="https://www.newyork-demographics.com/albany-county-demographics" xr:uid="{79D816FB-F1B3-D54F-ADE2-A2D7FA0D5AEA}"/>
    <hyperlink ref="B73" r:id="rId11" display="https://www.newyork-demographics.com/dutchess-county-demographics" xr:uid="{558CCE32-A48F-9843-8229-4423F2097A8B}"/>
    <hyperlink ref="B101" r:id="rId12" display="https://www.newyork-demographics.com/saratoga-county-demographics" xr:uid="{7041B39F-27B2-4C4E-BAD4-F085A3E1CABE}"/>
    <hyperlink ref="B90" r:id="rId13" display="https://www.newyork-demographics.com/oneida-county-demographics" xr:uid="{4681E94B-EF78-B142-9838-5906CDA72F77}"/>
    <hyperlink ref="B89" r:id="rId14" display="https://www.newyork-demographics.com/niagara-county-demographics" xr:uid="{3278589A-41A4-3F41-A7BA-6C384265BEE4}"/>
    <hyperlink ref="B63" r:id="rId15" display="https://www.newyork-demographics.com/broome-county-demographics" xr:uid="{4BEEB9C8-B82C-DC4A-8432-36161A37EF04}"/>
    <hyperlink ref="B111" r:id="rId16" display="https://www.newyork-demographics.com/ulster-county-demographics" xr:uid="{77C5CBD3-8A06-E547-9D25-D401CBE83884}"/>
    <hyperlink ref="B98" r:id="rId17" display="https://www.newyork-demographics.com/rensselaer-county-demographics" xr:uid="{A4BA6803-4297-DC40-A788-31D99FF613F4}"/>
    <hyperlink ref="B102" r:id="rId18" display="https://www.newyork-demographics.com/schenectady-county-demographics" xr:uid="{1B60FD49-B165-914A-AB2C-72FC36CB1D3A}"/>
    <hyperlink ref="B66" r:id="rId19" display="https://www.newyork-demographics.com/chautauqua-county-demographics" xr:uid="{C2530BE2-B211-0748-9DD7-243C3058A144}"/>
    <hyperlink ref="B95" r:id="rId20" display="https://www.newyork-demographics.com/oswego-county-demographics" xr:uid="{941D8BAE-5CC5-DB4C-BA55-5117F9CAC4A3}"/>
    <hyperlink ref="B82" r:id="rId21" display="https://www.newyork-demographics.com/jefferson-county-demographics" xr:uid="{4D45E2F3-CEB5-0343-8B9D-592096D9194A}"/>
    <hyperlink ref="B92" r:id="rId22" display="https://www.newyork-demographics.com/ontario-county-demographics" xr:uid="{0F2E4208-2E71-EE44-9395-03B1D2BCEDE9}"/>
    <hyperlink ref="B110" r:id="rId23" display="https://www.newyork-demographics.com/tompkins-county-demographics" xr:uid="{2262436E-AE07-0741-AD87-29F3FE2EE409}"/>
    <hyperlink ref="B97" r:id="rId24" display="https://www.newyork-demographics.com/putnam-county-demographics" xr:uid="{0F21555B-478D-5D40-88C8-6850C4795FDD}"/>
    <hyperlink ref="B106" r:id="rId25" display="https://www.newyork-demographics.com/steuben-county-demographics" xr:uid="{A62278E8-B97A-3543-8698-4666567118CA}"/>
    <hyperlink ref="B114" r:id="rId26" display="https://www.newyork-demographics.com/wayne-county-demographics" xr:uid="{B72716C6-C030-1B49-8CFE-C22DD56C9E68}"/>
    <hyperlink ref="B67" r:id="rId27" display="https://www.newyork-demographics.com/chemung-county-demographics" xr:uid="{9EABC04E-2A62-3442-B066-D8CBB42ABCF4}"/>
    <hyperlink ref="B69" r:id="rId28" display="https://www.newyork-demographics.com/clinton-county-demographics" xr:uid="{DBD0CA53-8CD7-B347-9953-E7CC79FA31D8}"/>
    <hyperlink ref="B65" r:id="rId29" display="https://www.newyork-demographics.com/cayuga-county-demographics" xr:uid="{46BEE4F5-69C7-E34C-86B1-644C6ACADAA1}"/>
    <hyperlink ref="B64" r:id="rId30" display="https://www.newyork-demographics.com/cattaraugus-county-demographics" xr:uid="{9AEA4691-3036-944B-B6AD-58B5F76C3455}"/>
    <hyperlink ref="B108" r:id="rId31" display="https://www.newyork-demographics.com/sullivan-county-demographics" xr:uid="{CB2BC227-20AF-8643-B618-22067A4A7ECD}"/>
    <hyperlink ref="B85" r:id="rId32" display="https://www.newyork-demographics.com/madison-county-demographics" xr:uid="{E8C6228A-8B15-3B4D-AF22-83A1C66932C7}"/>
    <hyperlink ref="B112" r:id="rId33" display="https://www.newyork-demographics.com/warren-county-demographics" xr:uid="{0D912519-AEB8-934F-A4B8-31D8B8850EE1}"/>
    <hyperlink ref="B84" r:id="rId34" display="https://www.newyork-demographics.com/livingston-county-demographics" xr:uid="{1684D518-157C-9341-8EC7-4DC2D087C738}"/>
    <hyperlink ref="B81" r:id="rId35" display="https://www.newyork-demographics.com/herkimer-county-demographics" xr:uid="{A634F240-4B5C-1840-978F-7E131D7F9D9C}"/>
    <hyperlink ref="B113" r:id="rId36" display="https://www.newyork-demographics.com/washington-county-demographics" xr:uid="{00B6DFDD-DFDC-0D4C-AE85-9D9CF845316F}"/>
    <hyperlink ref="B70" r:id="rId37" display="https://www.newyork-demographics.com/columbia-county-demographics" xr:uid="{57D5518D-AE19-1B4C-9208-FD907BE7B017}"/>
    <hyperlink ref="B96" r:id="rId38" display="https://www.newyork-demographics.com/otsego-county-demographics" xr:uid="{550ED27A-D3EB-D649-A0D9-1225DF223BCA}"/>
    <hyperlink ref="B78" r:id="rId39" display="https://www.newyork-demographics.com/genesee-county-demographics" xr:uid="{924295E8-D46B-8845-ACFF-BD885EB52880}"/>
    <hyperlink ref="B77" r:id="rId40" display="https://www.newyork-demographics.com/fulton-county-demographics" xr:uid="{8B939A80-385D-4343-AC83-523917F202A9}"/>
    <hyperlink ref="B76" r:id="rId41" display="https://www.newyork-demographics.com/franklin-county-demographics" xr:uid="{C1B4BE51-419E-4D42-99C0-1A44EC3865F6}"/>
    <hyperlink ref="B87" r:id="rId42" display="https://www.newyork-demographics.com/montgomery-county-demographics" xr:uid="{13F7E8F9-46DA-CA44-BD9E-D8648EE3C153}"/>
    <hyperlink ref="B109" r:id="rId43" display="https://www.newyork-demographics.com/tioga-county-demographics" xr:uid="{B16F3958-C467-9B48-91C0-9981C4289426}"/>
    <hyperlink ref="B71" r:id="rId44" display="https://www.newyork-demographics.com/cortland-county-demographics" xr:uid="{2F59B26E-3094-904D-82FC-11F12A750CCE}"/>
    <hyperlink ref="B68" r:id="rId45" display="https://www.newyork-demographics.com/chenango-county-demographics" xr:uid="{2C929E6C-5511-4F44-9BB4-ED4C9D597C32}"/>
    <hyperlink ref="B79" r:id="rId46" display="https://www.newyork-demographics.com/greene-county-demographics" xr:uid="{CC99BB31-8D46-7044-8619-4DFFF9ED40C5}"/>
    <hyperlink ref="B62" r:id="rId47" display="https://www.newyork-demographics.com/allegany-county-demographics" xr:uid="{E62FBDC7-E56E-6D43-81B0-381328DD7E01}"/>
    <hyperlink ref="B72" r:id="rId48" display="https://www.newyork-demographics.com/delaware-county-demographics" xr:uid="{47F05D44-BA46-524B-896A-1B7EAD5C0510}"/>
    <hyperlink ref="B94" r:id="rId49" display="https://www.newyork-demographics.com/orleans-county-demographics" xr:uid="{7626734B-25F1-1E4D-B57B-5B322F7D911F}"/>
    <hyperlink ref="B116" r:id="rId50" display="https://www.newyork-demographics.com/wyoming-county-demographics" xr:uid="{DE1F8F6E-0248-B248-A5C1-CB5A7BF6ACF8}"/>
    <hyperlink ref="B75" r:id="rId51" display="https://www.newyork-demographics.com/essex-county-demographics" xr:uid="{F999344B-34D7-7D46-A8C2-E04354026806}"/>
    <hyperlink ref="B105" r:id="rId52" display="https://www.newyork-demographics.com/seneca-county-demographics" xr:uid="{65B725E3-B488-9E41-B399-0CA33AC9E4EE}"/>
    <hyperlink ref="B103" r:id="rId53" display="https://www.newyork-demographics.com/schoharie-county-demographics" xr:uid="{E99C3DDB-36D3-D746-8E97-FB0F790C58F5}"/>
    <hyperlink ref="B83" r:id="rId54" display="https://www.newyork-demographics.com/lewis-county-demographics" xr:uid="{9CC04383-FB45-8041-814A-239C528662DC}"/>
    <hyperlink ref="B117" r:id="rId55" display="https://www.newyork-demographics.com/yates-county-demographics" xr:uid="{28A8628E-6E43-A54A-8E1C-5986226AECD2}"/>
    <hyperlink ref="B104" r:id="rId56" display="https://www.newyork-demographics.com/schuyler-county-demographics" xr:uid="{38E4D3A9-334A-1D42-9204-C68E32D8F2B2}"/>
    <hyperlink ref="B80" r:id="rId57" display="https://www.newyork-demographics.com/hamilton-county-demographics" xr:uid="{F104A53A-1A85-4C48-B8D5-A07BE621FE4D}"/>
  </hyperlinks>
  <pageMargins left="0.7" right="0.7" top="0.75" bottom="0.75" header="0.3" footer="0.3"/>
  <tableParts count="3">
    <tablePart r:id="rId58"/>
    <tablePart r:id="rId59"/>
    <tablePart r:id="rId60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FB39-957B-1A44-B6CE-5BFDE7122CA4}">
  <dimension ref="A1:R203"/>
  <sheetViews>
    <sheetView topLeftCell="B1" workbookViewId="0">
      <selection activeCell="Q2" sqref="Q2:Q4"/>
    </sheetView>
  </sheetViews>
  <sheetFormatPr baseColWidth="10" defaultRowHeight="13"/>
  <cols>
    <col min="1" max="1" width="14.1640625" customWidth="1"/>
    <col min="2" max="2" width="14.6640625" customWidth="1"/>
    <col min="3" max="3" width="17.33203125" customWidth="1"/>
    <col min="7" max="7" width="12.1640625" customWidth="1"/>
    <col min="8" max="8" width="18.33203125" customWidth="1"/>
    <col min="9" max="9" width="18.33203125" style="1" customWidth="1"/>
    <col min="10" max="10" width="15.5" customWidth="1"/>
    <col min="11" max="11" width="17.33203125" customWidth="1"/>
    <col min="12" max="12" width="17.33203125" style="1" customWidth="1"/>
    <col min="13" max="13" width="14.5" customWidth="1"/>
  </cols>
  <sheetData>
    <row r="1" spans="1:18" ht="21">
      <c r="A1" s="95" t="s">
        <v>64</v>
      </c>
      <c r="B1" s="95" t="s">
        <v>2389</v>
      </c>
      <c r="C1" s="95" t="s">
        <v>1674</v>
      </c>
      <c r="D1" s="95" t="s">
        <v>1</v>
      </c>
      <c r="E1" s="95" t="s">
        <v>1677</v>
      </c>
      <c r="G1" s="15" t="s">
        <v>165</v>
      </c>
      <c r="H1" s="15" t="s">
        <v>166</v>
      </c>
      <c r="I1" s="15" t="s">
        <v>1677</v>
      </c>
      <c r="J1" s="15" t="s">
        <v>167</v>
      </c>
      <c r="K1" s="15" t="s">
        <v>168</v>
      </c>
      <c r="L1" s="15" t="s">
        <v>1687</v>
      </c>
      <c r="M1" s="15" t="s">
        <v>169</v>
      </c>
      <c r="N1" s="15" t="s">
        <v>62</v>
      </c>
      <c r="Q1" t="s">
        <v>267</v>
      </c>
      <c r="R1" t="s">
        <v>328</v>
      </c>
    </row>
    <row r="2" spans="1:18" ht="20">
      <c r="A2" s="78" t="s">
        <v>2390</v>
      </c>
      <c r="B2" s="78" t="s">
        <v>2391</v>
      </c>
      <c r="C2" s="78" t="s">
        <v>297</v>
      </c>
      <c r="D2" s="78">
        <v>241</v>
      </c>
      <c r="E2" s="78">
        <f>Table73[[#This Row],[2020]]/C104</f>
        <v>1.4505489214175656E-3</v>
      </c>
      <c r="G2" s="16" t="s">
        <v>2452</v>
      </c>
      <c r="H2" s="17">
        <v>46056</v>
      </c>
      <c r="I2" s="80">
        <f>Table74[[#This Row],[TRUMP VOTES]]/C104</f>
        <v>0.27720531587057012</v>
      </c>
      <c r="J2" s="18">
        <v>0.53600000000000003</v>
      </c>
      <c r="K2" s="17">
        <v>38825</v>
      </c>
      <c r="L2" s="80">
        <f>Table74[[#This Row],[BIDEN VOTES]]/C104</f>
        <v>0.23368282935285054</v>
      </c>
      <c r="M2" s="18">
        <v>0.45200000000000001</v>
      </c>
      <c r="N2" s="80">
        <f>1-(Table74[[#This Row],[NbP]]+Table74[[#This Row],[NbP2]])</f>
        <v>0.48911185477657937</v>
      </c>
      <c r="P2" t="s">
        <v>1671</v>
      </c>
      <c r="Q2">
        <f>CORREL(E:E,I:I)</f>
        <v>0.19129574708534688</v>
      </c>
    </row>
    <row r="3" spans="1:18" ht="20">
      <c r="A3" s="78" t="s">
        <v>2392</v>
      </c>
      <c r="B3" s="78" t="s">
        <v>2391</v>
      </c>
      <c r="C3" s="78" t="s">
        <v>297</v>
      </c>
      <c r="D3" s="78">
        <v>78</v>
      </c>
      <c r="E3" s="78">
        <f>Table73[[#This Row],[2020]]/C105</f>
        <v>2.0927799093128706E-3</v>
      </c>
      <c r="G3" s="16" t="s">
        <v>2453</v>
      </c>
      <c r="H3" s="17">
        <v>15888</v>
      </c>
      <c r="I3" s="80">
        <f>Table74[[#This Row],[TRUMP VOTES]]/C105</f>
        <v>0.42628316922003701</v>
      </c>
      <c r="J3" s="18">
        <v>0.78600000000000003</v>
      </c>
      <c r="K3" s="17">
        <v>4145</v>
      </c>
      <c r="L3" s="80">
        <f>Table74[[#This Row],[BIDEN VOTES]]/C105</f>
        <v>0.11121247082181857</v>
      </c>
      <c r="M3" s="18">
        <v>0.20499999999999999</v>
      </c>
      <c r="N3" s="80">
        <f>1-(Table74[[#This Row],[NbP]]+Table74[[#This Row],[NbP2]])</f>
        <v>0.46250435995814443</v>
      </c>
      <c r="P3" t="s">
        <v>1672</v>
      </c>
      <c r="Q3">
        <f>CORREL(E:E,L:L)</f>
        <v>-0.34795802667245845</v>
      </c>
    </row>
    <row r="4" spans="1:18" ht="20">
      <c r="A4" s="78" t="s">
        <v>2393</v>
      </c>
      <c r="B4" s="78" t="s">
        <v>2391</v>
      </c>
      <c r="C4" s="78" t="s">
        <v>297</v>
      </c>
      <c r="D4" s="78">
        <v>32</v>
      </c>
      <c r="E4" s="78">
        <f>Table73[[#This Row],[2020]]/C106</f>
        <v>2.8867839422643212E-3</v>
      </c>
      <c r="G4" s="16" t="s">
        <v>2454</v>
      </c>
      <c r="H4" s="17">
        <v>4527</v>
      </c>
      <c r="I4" s="80">
        <f>Table74[[#This Row],[TRUMP VOTES]]/C106</f>
        <v>0.40838971583220568</v>
      </c>
      <c r="J4" s="18">
        <v>0.746</v>
      </c>
      <c r="K4" s="17">
        <v>1486</v>
      </c>
      <c r="L4" s="80">
        <f>Table74[[#This Row],[BIDEN VOTES]]/C106</f>
        <v>0.13405502931889943</v>
      </c>
      <c r="M4" s="18">
        <v>0.245</v>
      </c>
      <c r="N4" s="80">
        <f>1-(Table74[[#This Row],[NbP]]+Table74[[#This Row],[NbP2]])</f>
        <v>0.45755525484889492</v>
      </c>
      <c r="P4" t="s">
        <v>1679</v>
      </c>
      <c r="Q4" s="37">
        <f>CORREL(E:E,N:N)</f>
        <v>0.14972604657141941</v>
      </c>
    </row>
    <row r="5" spans="1:18" ht="20">
      <c r="A5" s="78" t="s">
        <v>2394</v>
      </c>
      <c r="B5" s="78" t="s">
        <v>2391</v>
      </c>
      <c r="C5" s="78" t="s">
        <v>297</v>
      </c>
      <c r="D5" s="78">
        <v>44</v>
      </c>
      <c r="E5" s="78">
        <f>Table73[[#This Row],[2020]]/C107</f>
        <v>1.8010642652476463E-3</v>
      </c>
      <c r="G5" s="16" t="s">
        <v>2455</v>
      </c>
      <c r="H5" s="17">
        <v>5321</v>
      </c>
      <c r="I5" s="80">
        <f>Table74[[#This Row],[TRUMP VOTES]]/C107</f>
        <v>0.21780597625869833</v>
      </c>
      <c r="J5" s="18">
        <v>0.47599999999999998</v>
      </c>
      <c r="K5" s="17">
        <v>5789</v>
      </c>
      <c r="L5" s="80">
        <f>Table74[[#This Row],[BIDEN VOTES]]/C107</f>
        <v>0.23696275071633238</v>
      </c>
      <c r="M5" s="18">
        <v>0.51800000000000002</v>
      </c>
      <c r="N5" s="80">
        <f>1-(Table74[[#This Row],[NbP]]+Table74[[#This Row],[NbP2]])</f>
        <v>0.54523127302496932</v>
      </c>
    </row>
    <row r="6" spans="1:18" ht="20">
      <c r="A6" s="78" t="s">
        <v>2395</v>
      </c>
      <c r="B6" s="78" t="s">
        <v>2391</v>
      </c>
      <c r="C6" s="78" t="s">
        <v>297</v>
      </c>
      <c r="D6" s="78">
        <v>71</v>
      </c>
      <c r="E6" s="78">
        <f>Table73[[#This Row],[2020]]/C108</f>
        <v>2.6287533785034618E-3</v>
      </c>
      <c r="G6" s="16" t="s">
        <v>2456</v>
      </c>
      <c r="H6" s="17">
        <v>11451</v>
      </c>
      <c r="I6" s="80">
        <f>Table74[[#This Row],[TRUMP VOTES]]/C108</f>
        <v>0.42396978784849493</v>
      </c>
      <c r="J6" s="18">
        <v>0.72499999999999998</v>
      </c>
      <c r="K6" s="17">
        <v>4164</v>
      </c>
      <c r="L6" s="80">
        <f>Table74[[#This Row],[BIDEN VOTES]]/C108</f>
        <v>0.15417083194490724</v>
      </c>
      <c r="M6" s="18">
        <v>0.26400000000000001</v>
      </c>
      <c r="N6" s="80">
        <f>1-(Table74[[#This Row],[NbP]]+Table74[[#This Row],[NbP2]])</f>
        <v>0.42185938020659786</v>
      </c>
    </row>
    <row r="7" spans="1:18" ht="20">
      <c r="A7" s="78" t="s">
        <v>2396</v>
      </c>
      <c r="B7" s="78" t="s">
        <v>2391</v>
      </c>
      <c r="C7" s="78" t="s">
        <v>297</v>
      </c>
      <c r="D7" s="78">
        <v>46</v>
      </c>
      <c r="E7" s="78">
        <f>Table73[[#This Row],[2020]]/C109</f>
        <v>2.6270702455739579E-3</v>
      </c>
      <c r="G7" s="16" t="s">
        <v>2457</v>
      </c>
      <c r="H7" s="17">
        <v>7172</v>
      </c>
      <c r="I7" s="80">
        <f>Table74[[#This Row],[TRUMP VOTES]]/C109</f>
        <v>0.40959451741861791</v>
      </c>
      <c r="J7" s="18">
        <v>0.76</v>
      </c>
      <c r="K7" s="17">
        <v>2191</v>
      </c>
      <c r="L7" s="80">
        <f>Table74[[#This Row],[BIDEN VOTES]]/C109</f>
        <v>0.1251284980011422</v>
      </c>
      <c r="M7" s="18">
        <v>0.23200000000000001</v>
      </c>
      <c r="N7" s="80">
        <f>1-(Table74[[#This Row],[NbP]]+Table74[[#This Row],[NbP2]])</f>
        <v>0.46527698458023992</v>
      </c>
    </row>
    <row r="8" spans="1:18" ht="20">
      <c r="A8" s="78" t="s">
        <v>2397</v>
      </c>
      <c r="B8" s="78" t="s">
        <v>2391</v>
      </c>
      <c r="C8" s="78" t="s">
        <v>297</v>
      </c>
      <c r="D8" s="78">
        <v>218</v>
      </c>
      <c r="E8" s="78">
        <f>Table73[[#This Row],[2020]]/C110</f>
        <v>4.6225614927905001E-3</v>
      </c>
      <c r="G8" s="16" t="s">
        <v>2458</v>
      </c>
      <c r="H8" s="17">
        <v>16437</v>
      </c>
      <c r="I8" s="80">
        <f>Table74[[#This Row],[TRUMP VOTES]]/C110</f>
        <v>0.34853689567430024</v>
      </c>
      <c r="J8" s="18">
        <v>0.626</v>
      </c>
      <c r="K8" s="17">
        <v>9633</v>
      </c>
      <c r="L8" s="80">
        <f>Table74[[#This Row],[BIDEN VOTES]]/C110</f>
        <v>0.20426208651399491</v>
      </c>
      <c r="M8" s="18">
        <v>0.36699999999999999</v>
      </c>
      <c r="N8" s="80">
        <f>1-(Table74[[#This Row],[NbP]]+Table74[[#This Row],[NbP2]])</f>
        <v>0.44720101781170485</v>
      </c>
    </row>
    <row r="9" spans="1:18" ht="20">
      <c r="A9" s="78" t="s">
        <v>2398</v>
      </c>
      <c r="B9" s="78" t="s">
        <v>2391</v>
      </c>
      <c r="C9" s="78" t="s">
        <v>297</v>
      </c>
      <c r="D9" s="78">
        <v>20</v>
      </c>
      <c r="E9" s="78">
        <f>Table73[[#This Row],[2020]]/C111</f>
        <v>1.048163094177454E-3</v>
      </c>
      <c r="G9" s="16" t="s">
        <v>2459</v>
      </c>
      <c r="H9" s="17">
        <v>3817</v>
      </c>
      <c r="I9" s="80">
        <f>Table74[[#This Row],[TRUMP VOTES]]/C111</f>
        <v>0.20004192652376709</v>
      </c>
      <c r="J9" s="18">
        <v>0.38900000000000001</v>
      </c>
      <c r="K9" s="17">
        <v>5939</v>
      </c>
      <c r="L9" s="80">
        <f>Table74[[#This Row],[BIDEN VOTES]]/C111</f>
        <v>0.31125203081599495</v>
      </c>
      <c r="M9" s="18">
        <v>0.60599999999999998</v>
      </c>
      <c r="N9" s="80">
        <f>1-(Table74[[#This Row],[NbP]]+Table74[[#This Row],[NbP2]])</f>
        <v>0.48870604266023798</v>
      </c>
    </row>
    <row r="10" spans="1:18" ht="20">
      <c r="A10" s="78" t="s">
        <v>2399</v>
      </c>
      <c r="B10" s="78" t="s">
        <v>2391</v>
      </c>
      <c r="C10" s="78" t="s">
        <v>297</v>
      </c>
      <c r="D10" s="78">
        <v>139</v>
      </c>
      <c r="E10" s="78">
        <f>Table73[[#This Row],[2020]]/C112</f>
        <v>4.1856123340058421E-3</v>
      </c>
      <c r="G10" s="16" t="s">
        <v>2460</v>
      </c>
      <c r="H10" s="17">
        <v>9676</v>
      </c>
      <c r="I10" s="80">
        <f>Table74[[#This Row],[TRUMP VOTES]]/C112</f>
        <v>0.29136679815712607</v>
      </c>
      <c r="J10" s="18">
        <v>0.56599999999999995</v>
      </c>
      <c r="K10" s="17">
        <v>7326</v>
      </c>
      <c r="L10" s="80">
        <f>Table74[[#This Row],[BIDEN VOTES]]/C112</f>
        <v>0.22060284862537263</v>
      </c>
      <c r="M10" s="18">
        <v>0.42799999999999999</v>
      </c>
      <c r="N10" s="80">
        <f>1-(Table74[[#This Row],[NbP]]+Table74[[#This Row],[NbP2]])</f>
        <v>0.48803035321750132</v>
      </c>
    </row>
    <row r="11" spans="1:18" ht="20">
      <c r="A11" s="78" t="s">
        <v>2400</v>
      </c>
      <c r="B11" s="78" t="s">
        <v>2391</v>
      </c>
      <c r="C11" s="78" t="s">
        <v>297</v>
      </c>
      <c r="D11" s="78">
        <v>326</v>
      </c>
      <c r="E11" s="78">
        <f>Table73[[#This Row],[2020]]/C113</f>
        <v>2.3743108307902961E-3</v>
      </c>
      <c r="G11" s="16" t="s">
        <v>2461</v>
      </c>
      <c r="H11" s="17">
        <v>55850</v>
      </c>
      <c r="I11" s="80">
        <f>Table74[[#This Row],[TRUMP VOTES]]/C113</f>
        <v>0.40676460091913508</v>
      </c>
      <c r="J11" s="18">
        <v>0.62</v>
      </c>
      <c r="K11" s="17">
        <v>33310</v>
      </c>
      <c r="L11" s="80">
        <f>Table74[[#This Row],[BIDEN VOTES]]/C113</f>
        <v>0.24260212813995324</v>
      </c>
      <c r="M11" s="18">
        <v>0.37</v>
      </c>
      <c r="N11" s="80">
        <f>1-(Table74[[#This Row],[NbP]]+Table74[[#This Row],[NbP2]])</f>
        <v>0.35063327094091168</v>
      </c>
    </row>
    <row r="12" spans="1:18" ht="20">
      <c r="A12" s="78" t="s">
        <v>2401</v>
      </c>
      <c r="B12" s="78" t="s">
        <v>2391</v>
      </c>
      <c r="C12" s="78" t="s">
        <v>297</v>
      </c>
      <c r="D12" s="78">
        <v>695</v>
      </c>
      <c r="E12" s="78">
        <f>Table73[[#This Row],[2020]]/C114</f>
        <v>2.6774432150892223E-3</v>
      </c>
      <c r="G12" s="16" t="s">
        <v>2462</v>
      </c>
      <c r="H12" s="17">
        <v>62412</v>
      </c>
      <c r="I12" s="80">
        <f>Table74[[#This Row],[TRUMP VOTES]]/C114</f>
        <v>0.24043825315129289</v>
      </c>
      <c r="J12" s="18">
        <v>0.38700000000000001</v>
      </c>
      <c r="K12" s="17">
        <v>96515</v>
      </c>
      <c r="L12" s="80">
        <f>Table74[[#This Row],[BIDEN VOTES]]/C114</f>
        <v>0.37181788763213858</v>
      </c>
      <c r="M12" s="18">
        <v>0.59899999999999998</v>
      </c>
      <c r="N12" s="80">
        <f>1-(Table74[[#This Row],[NbP]]+Table74[[#This Row],[NbP2]])</f>
        <v>0.38774385921656851</v>
      </c>
    </row>
    <row r="13" spans="1:18" ht="20">
      <c r="A13" s="78" t="s">
        <v>1223</v>
      </c>
      <c r="B13" s="78" t="s">
        <v>2391</v>
      </c>
      <c r="C13" s="78" t="s">
        <v>297</v>
      </c>
      <c r="D13" s="78">
        <v>248</v>
      </c>
      <c r="E13" s="78">
        <f>Table73[[#This Row],[2020]]/C115</f>
        <v>2.751031636863824E-3</v>
      </c>
      <c r="G13" s="16" t="s">
        <v>1317</v>
      </c>
      <c r="H13" s="17">
        <v>31019</v>
      </c>
      <c r="I13" s="80">
        <f>Table74[[#This Row],[TRUMP VOTES]]/C115</f>
        <v>0.34408971912854419</v>
      </c>
      <c r="J13" s="18">
        <v>0.69699999999999995</v>
      </c>
      <c r="K13" s="17">
        <v>13118</v>
      </c>
      <c r="L13" s="80">
        <f>Table74[[#This Row],[BIDEN VOTES]]/C115</f>
        <v>0.14551626214669211</v>
      </c>
      <c r="M13" s="18">
        <v>0.29499999999999998</v>
      </c>
      <c r="N13" s="80">
        <f>1-(Table74[[#This Row],[NbP]]+Table74[[#This Row],[NbP2]])</f>
        <v>0.51039401872476375</v>
      </c>
    </row>
    <row r="14" spans="1:18" ht="20">
      <c r="A14" s="78" t="s">
        <v>2402</v>
      </c>
      <c r="B14" s="78" t="s">
        <v>2391</v>
      </c>
      <c r="C14" s="78" t="s">
        <v>297</v>
      </c>
      <c r="D14" s="78">
        <v>279</v>
      </c>
      <c r="E14" s="78">
        <f>Table73[[#This Row],[2020]]/C116</f>
        <v>1.3184943644998937E-3</v>
      </c>
      <c r="G14" s="16" t="s">
        <v>2463</v>
      </c>
      <c r="H14" s="17">
        <v>63237</v>
      </c>
      <c r="I14" s="80">
        <f>Table74[[#This Row],[TRUMP VOTES]]/C116</f>
        <v>0.29884454526121784</v>
      </c>
      <c r="J14" s="18">
        <v>0.54100000000000004</v>
      </c>
      <c r="K14" s="17">
        <v>52162</v>
      </c>
      <c r="L14" s="80">
        <f>Table74[[#This Row],[BIDEN VOTES]]/C116</f>
        <v>0.24650646251270056</v>
      </c>
      <c r="M14" s="18">
        <v>0.44600000000000001</v>
      </c>
      <c r="N14" s="80">
        <f>1-(Table74[[#This Row],[NbP]]+Table74[[#This Row],[NbP2]])</f>
        <v>0.45464899222608157</v>
      </c>
    </row>
    <row r="15" spans="1:18" ht="20">
      <c r="A15" s="78" t="s">
        <v>585</v>
      </c>
      <c r="B15" s="78" t="s">
        <v>2391</v>
      </c>
      <c r="C15" s="78" t="s">
        <v>297</v>
      </c>
      <c r="D15" s="78">
        <v>136</v>
      </c>
      <c r="E15" s="78">
        <f>Table73[[#This Row],[2020]]/C117</f>
        <v>1.6574046992297942E-3</v>
      </c>
      <c r="G15" s="16" t="s">
        <v>357</v>
      </c>
      <c r="H15" s="17">
        <v>32119</v>
      </c>
      <c r="I15" s="80">
        <f>Table74[[#This Row],[TRUMP VOTES]]/C117</f>
        <v>0.39142780540118943</v>
      </c>
      <c r="J15" s="18">
        <v>0.751</v>
      </c>
      <c r="K15" s="17">
        <v>10245</v>
      </c>
      <c r="L15" s="80">
        <f>Table74[[#This Row],[BIDEN VOTES]]/C117</f>
        <v>0.12485375840889149</v>
      </c>
      <c r="M15" s="18">
        <v>0.24</v>
      </c>
      <c r="N15" s="80">
        <f>1-(Table74[[#This Row],[NbP]]+Table74[[#This Row],[NbP2]])</f>
        <v>0.48371843618991905</v>
      </c>
    </row>
    <row r="16" spans="1:18" ht="20">
      <c r="A16" s="78" t="s">
        <v>806</v>
      </c>
      <c r="B16" s="78" t="s">
        <v>2391</v>
      </c>
      <c r="C16" s="78" t="s">
        <v>297</v>
      </c>
      <c r="D16" s="78">
        <v>3</v>
      </c>
      <c r="E16" s="78">
        <f>Table73[[#This Row],[2020]]/C118</f>
        <v>2.8158438145297541E-4</v>
      </c>
      <c r="G16" s="16" t="s">
        <v>788</v>
      </c>
      <c r="H16" s="17">
        <v>4312</v>
      </c>
      <c r="I16" s="80">
        <f>Table74[[#This Row],[TRUMP VOTES]]/C118</f>
        <v>0.40473061760841</v>
      </c>
      <c r="J16" s="18">
        <v>0.72599999999999998</v>
      </c>
      <c r="K16" s="17">
        <v>1537</v>
      </c>
      <c r="L16" s="80">
        <f>Table74[[#This Row],[BIDEN VOTES]]/C118</f>
        <v>0.14426506476440773</v>
      </c>
      <c r="M16" s="18">
        <v>0.25900000000000001</v>
      </c>
      <c r="N16" s="80">
        <f>1-(Table74[[#This Row],[NbP]]+Table74[[#This Row],[NbP2]])</f>
        <v>0.45100431762718229</v>
      </c>
    </row>
    <row r="17" spans="1:14" ht="20">
      <c r="A17" s="78" t="s">
        <v>2403</v>
      </c>
      <c r="B17" s="78" t="s">
        <v>2391</v>
      </c>
      <c r="C17" s="78" t="s">
        <v>297</v>
      </c>
      <c r="D17" s="78">
        <v>153</v>
      </c>
      <c r="E17" s="78">
        <f>Table73[[#This Row],[2020]]/C119</f>
        <v>2.2077603497785026E-3</v>
      </c>
      <c r="G17" s="16" t="s">
        <v>2464</v>
      </c>
      <c r="H17" s="17">
        <v>30028</v>
      </c>
      <c r="I17" s="80">
        <f>Table74[[#This Row],[TRUMP VOTES]]/C119</f>
        <v>0.43329822080489461</v>
      </c>
      <c r="J17" s="18">
        <v>0.70499999999999996</v>
      </c>
      <c r="K17" s="17">
        <v>12093</v>
      </c>
      <c r="L17" s="80">
        <f>Table74[[#This Row],[BIDEN VOTES]]/C119</f>
        <v>0.17449964646974792</v>
      </c>
      <c r="M17" s="18">
        <v>0.28399999999999997</v>
      </c>
      <c r="N17" s="80">
        <f>1-(Table74[[#This Row],[NbP]]+Table74[[#This Row],[NbP2]])</f>
        <v>0.39220213272535753</v>
      </c>
    </row>
    <row r="18" spans="1:14" ht="20">
      <c r="A18" s="78" t="s">
        <v>2404</v>
      </c>
      <c r="B18" s="78" t="s">
        <v>2391</v>
      </c>
      <c r="C18" s="78" t="s">
        <v>297</v>
      </c>
      <c r="D18" s="78">
        <v>36</v>
      </c>
      <c r="E18" s="78">
        <f>Table73[[#This Row],[2020]]/C120</f>
        <v>1.5915822980679959E-3</v>
      </c>
      <c r="G18" s="16" t="s">
        <v>2465</v>
      </c>
      <c r="H18" s="17">
        <v>7089</v>
      </c>
      <c r="I18" s="80">
        <f>Table74[[#This Row],[TRUMP VOTES]]/C120</f>
        <v>0.31340908086122288</v>
      </c>
      <c r="J18" s="18">
        <v>0.58899999999999997</v>
      </c>
      <c r="K18" s="17">
        <v>4860</v>
      </c>
      <c r="L18" s="80">
        <f>Table74[[#This Row],[BIDEN VOTES]]/C120</f>
        <v>0.21486361023917946</v>
      </c>
      <c r="M18" s="18">
        <v>0.40400000000000003</v>
      </c>
      <c r="N18" s="80">
        <f>1-(Table74[[#This Row],[NbP]]+Table74[[#This Row],[NbP2]])</f>
        <v>0.47172730889959769</v>
      </c>
    </row>
    <row r="19" spans="1:14" ht="20">
      <c r="A19" s="78" t="s">
        <v>2405</v>
      </c>
      <c r="B19" s="78" t="s">
        <v>2391</v>
      </c>
      <c r="C19" s="78" t="s">
        <v>297</v>
      </c>
      <c r="D19" s="78">
        <v>352</v>
      </c>
      <c r="E19" s="78">
        <f>Table73[[#This Row],[2020]]/C121</f>
        <v>2.2207221132189746E-3</v>
      </c>
      <c r="G19" s="16" t="s">
        <v>2466</v>
      </c>
      <c r="H19" s="17">
        <v>56588</v>
      </c>
      <c r="I19" s="80">
        <f>Table74[[#This Row],[TRUMP VOTES]]/C121</f>
        <v>0.35700631517850945</v>
      </c>
      <c r="J19" s="18">
        <v>0.68</v>
      </c>
      <c r="K19" s="17">
        <v>25689</v>
      </c>
      <c r="L19" s="80">
        <f>Table74[[#This Row],[BIDEN VOTES]]/C121</f>
        <v>0.16206855217750635</v>
      </c>
      <c r="M19" s="18">
        <v>0.309</v>
      </c>
      <c r="N19" s="80">
        <f>1-(Table74[[#This Row],[NbP]]+Table74[[#This Row],[NbP2]])</f>
        <v>0.48092513264398418</v>
      </c>
    </row>
    <row r="20" spans="1:14" ht="20">
      <c r="A20" s="78" t="s">
        <v>1228</v>
      </c>
      <c r="B20" s="78" t="s">
        <v>2391</v>
      </c>
      <c r="C20" s="78" t="s">
        <v>297</v>
      </c>
      <c r="D20" s="78">
        <v>101</v>
      </c>
      <c r="E20" s="78">
        <f>Table73[[#This Row],[2020]]/C122</f>
        <v>1.3863533416606042E-3</v>
      </c>
      <c r="G20" s="16" t="s">
        <v>1322</v>
      </c>
      <c r="H20" s="17">
        <v>21186</v>
      </c>
      <c r="I20" s="80">
        <f>Table74[[#This Row],[TRUMP VOTES]]/C122</f>
        <v>0.29080477125169862</v>
      </c>
      <c r="J20" s="18">
        <v>0.437</v>
      </c>
      <c r="K20" s="17">
        <v>26787</v>
      </c>
      <c r="L20" s="80">
        <f>Table74[[#This Row],[BIDEN VOTES]]/C122</f>
        <v>0.36768561349566936</v>
      </c>
      <c r="M20" s="18">
        <v>0.55200000000000005</v>
      </c>
      <c r="N20" s="80">
        <f>1-(Table74[[#This Row],[NbP]]+Table74[[#This Row],[NbP2]])</f>
        <v>0.34150961525263202</v>
      </c>
    </row>
    <row r="21" spans="1:14" ht="20">
      <c r="A21" s="78" t="s">
        <v>594</v>
      </c>
      <c r="B21" s="78" t="s">
        <v>2391</v>
      </c>
      <c r="C21" s="78" t="s">
        <v>297</v>
      </c>
      <c r="D21" s="78">
        <v>70</v>
      </c>
      <c r="E21" s="78">
        <f>Table73[[#This Row],[2020]]/C123</f>
        <v>2.4636610002463661E-3</v>
      </c>
      <c r="G21" s="16" t="s">
        <v>366</v>
      </c>
      <c r="H21" s="17">
        <v>12628</v>
      </c>
      <c r="I21" s="80">
        <f>Table74[[#This Row],[TRUMP VOTES]]/C123</f>
        <v>0.44444444444444442</v>
      </c>
      <c r="J21" s="18">
        <v>0.77</v>
      </c>
      <c r="K21" s="17">
        <v>3583</v>
      </c>
      <c r="L21" s="80">
        <f>Table74[[#This Row],[BIDEN VOTES]]/C123</f>
        <v>0.12610424805546758</v>
      </c>
      <c r="M21" s="18">
        <v>0.219</v>
      </c>
      <c r="N21" s="80">
        <f>1-(Table74[[#This Row],[NbP]]+Table74[[#This Row],[NbP2]])</f>
        <v>0.42945130750008798</v>
      </c>
    </row>
    <row r="22" spans="1:14" ht="20">
      <c r="A22" s="78" t="s">
        <v>2406</v>
      </c>
      <c r="B22" s="78" t="s">
        <v>2391</v>
      </c>
      <c r="C22" s="78" t="s">
        <v>297</v>
      </c>
      <c r="D22" s="78">
        <v>20</v>
      </c>
      <c r="E22" s="78">
        <f>Table73[[#This Row],[2020]]/C124</f>
        <v>1.4290818149339049E-3</v>
      </c>
      <c r="G22" s="16" t="s">
        <v>2467</v>
      </c>
      <c r="H22" s="17">
        <v>4471</v>
      </c>
      <c r="I22" s="80">
        <f>Table74[[#This Row],[TRUMP VOTES]]/C124</f>
        <v>0.31947123972847447</v>
      </c>
      <c r="J22" s="18">
        <v>0.57499999999999996</v>
      </c>
      <c r="K22" s="17">
        <v>3247</v>
      </c>
      <c r="L22" s="80">
        <f>Table74[[#This Row],[BIDEN VOTES]]/C124</f>
        <v>0.23201143265451948</v>
      </c>
      <c r="M22" s="18">
        <v>0.41799999999999998</v>
      </c>
      <c r="N22" s="80">
        <f>1-(Table74[[#This Row],[NbP]]+Table74[[#This Row],[NbP2]])</f>
        <v>0.44851732761700602</v>
      </c>
    </row>
    <row r="23" spans="1:14" ht="20">
      <c r="A23" s="78" t="s">
        <v>84</v>
      </c>
      <c r="B23" s="78" t="s">
        <v>2391</v>
      </c>
      <c r="C23" s="78" t="s">
        <v>297</v>
      </c>
      <c r="D23" s="78">
        <v>50</v>
      </c>
      <c r="E23" s="78">
        <f>Table73[[#This Row],[2020]]/C125</f>
        <v>4.4843049327354259E-3</v>
      </c>
      <c r="G23" s="16" t="s">
        <v>183</v>
      </c>
      <c r="H23" s="17">
        <v>5112</v>
      </c>
      <c r="I23" s="80">
        <f>Table74[[#This Row],[TRUMP VOTES]]/C125</f>
        <v>0.45847533632286996</v>
      </c>
      <c r="J23" s="18">
        <v>0.74299999999999999</v>
      </c>
      <c r="K23" s="17">
        <v>1699</v>
      </c>
      <c r="L23" s="80">
        <f>Table74[[#This Row],[BIDEN VOTES]]/C125</f>
        <v>0.15237668161434978</v>
      </c>
      <c r="M23" s="18">
        <v>0.247</v>
      </c>
      <c r="N23" s="80">
        <f>1-(Table74[[#This Row],[NbP]]+Table74[[#This Row],[NbP2]])</f>
        <v>0.38914798206278023</v>
      </c>
    </row>
    <row r="24" spans="1:14" ht="20">
      <c r="A24" s="78" t="s">
        <v>2407</v>
      </c>
      <c r="B24" s="78" t="s">
        <v>2391</v>
      </c>
      <c r="C24" s="78" t="s">
        <v>297</v>
      </c>
      <c r="D24" s="78">
        <v>209</v>
      </c>
      <c r="E24" s="78">
        <f>Table73[[#This Row],[2020]]/C126</f>
        <v>2.1377793688947986E-3</v>
      </c>
      <c r="G24" s="16" t="s">
        <v>2468</v>
      </c>
      <c r="H24" s="17">
        <v>33798</v>
      </c>
      <c r="I24" s="80">
        <f>Table74[[#This Row],[TRUMP VOTES]]/C126</f>
        <v>0.34570654119572441</v>
      </c>
      <c r="J24" s="18">
        <v>0.66</v>
      </c>
      <c r="K24" s="17">
        <v>16955</v>
      </c>
      <c r="L24" s="80">
        <f>Table74[[#This Row],[BIDEN VOTES]]/C126</f>
        <v>0.17342607272541297</v>
      </c>
      <c r="M24" s="18">
        <v>0.33100000000000002</v>
      </c>
      <c r="N24" s="80">
        <f>1-(Table74[[#This Row],[NbP]]+Table74[[#This Row],[NbP2]])</f>
        <v>0.48086738607886259</v>
      </c>
    </row>
    <row r="25" spans="1:14" ht="20">
      <c r="A25" s="78" t="s">
        <v>2408</v>
      </c>
      <c r="B25" s="78" t="s">
        <v>2391</v>
      </c>
      <c r="C25" s="78" t="s">
        <v>297</v>
      </c>
      <c r="D25" s="78">
        <v>199</v>
      </c>
      <c r="E25" s="78">
        <f>Table73[[#This Row],[2020]]/C127</f>
        <v>3.575342711870497E-3</v>
      </c>
      <c r="G25" s="16" t="s">
        <v>2469</v>
      </c>
      <c r="H25" s="17">
        <v>16832</v>
      </c>
      <c r="I25" s="80">
        <f>Table74[[#This Row],[TRUMP VOTES]]/C127</f>
        <v>0.30241290716685532</v>
      </c>
      <c r="J25" s="18">
        <v>0.63700000000000001</v>
      </c>
      <c r="K25" s="17">
        <v>9446</v>
      </c>
      <c r="L25" s="80">
        <f>Table74[[#This Row],[BIDEN VOTES]]/C127</f>
        <v>0.16971199626295838</v>
      </c>
      <c r="M25" s="18">
        <v>0.35799999999999998</v>
      </c>
      <c r="N25" s="80">
        <f>1-(Table74[[#This Row],[NbP]]+Table74[[#This Row],[NbP2]])</f>
        <v>0.52787509657018628</v>
      </c>
    </row>
    <row r="26" spans="1:14" ht="20">
      <c r="A26" s="78" t="s">
        <v>2409</v>
      </c>
      <c r="B26" s="78" t="s">
        <v>2391</v>
      </c>
      <c r="C26" s="78" t="s">
        <v>297</v>
      </c>
      <c r="D26" s="78">
        <v>207</v>
      </c>
      <c r="E26" s="78">
        <f>Table73[[#This Row],[2020]]/C128</f>
        <v>2.0236582266106168E-3</v>
      </c>
      <c r="G26" s="16" t="s">
        <v>2470</v>
      </c>
      <c r="H26" s="17">
        <v>31032</v>
      </c>
      <c r="I26" s="80">
        <f>Table74[[#This Row],[TRUMP VOTES]]/C128</f>
        <v>0.30337276371101768</v>
      </c>
      <c r="J26" s="18">
        <v>0.58599999999999997</v>
      </c>
      <c r="K26" s="17">
        <v>21148</v>
      </c>
      <c r="L26" s="80">
        <f>Table74[[#This Row],[BIDEN VOTES]]/C128</f>
        <v>0.20674552742203539</v>
      </c>
      <c r="M26" s="18">
        <v>0.39900000000000002</v>
      </c>
      <c r="N26" s="80">
        <f>1-(Table74[[#This Row],[NbP]]+Table74[[#This Row],[NbP2]])</f>
        <v>0.48988170886694693</v>
      </c>
    </row>
    <row r="27" spans="1:14" ht="20">
      <c r="A27" s="78" t="s">
        <v>88</v>
      </c>
      <c r="B27" s="78" t="s">
        <v>2391</v>
      </c>
      <c r="C27" s="78" t="s">
        <v>297</v>
      </c>
      <c r="D27" s="78">
        <v>840</v>
      </c>
      <c r="E27" s="78">
        <f>Table73[[#This Row],[2020]]/C129</f>
        <v>2.5107453924833067E-3</v>
      </c>
      <c r="G27" s="16" t="s">
        <v>187</v>
      </c>
      <c r="H27" s="17">
        <v>60032</v>
      </c>
      <c r="I27" s="80">
        <f>Table74[[#This Row],[TRUMP VOTES]]/C129</f>
        <v>0.17943460404947364</v>
      </c>
      <c r="J27" s="18">
        <v>0.40899999999999997</v>
      </c>
      <c r="K27" s="17">
        <v>84469</v>
      </c>
      <c r="L27" s="80">
        <f>Table74[[#This Row],[BIDEN VOTES]]/C129</f>
        <v>0.25247637209246715</v>
      </c>
      <c r="M27" s="18">
        <v>0.57499999999999996</v>
      </c>
      <c r="N27" s="80">
        <f>1-(Table74[[#This Row],[NbP]]+Table74[[#This Row],[NbP2]])</f>
        <v>0.56808902385805915</v>
      </c>
    </row>
    <row r="28" spans="1:14" ht="20">
      <c r="A28" s="78" t="s">
        <v>2410</v>
      </c>
      <c r="B28" s="78" t="s">
        <v>2391</v>
      </c>
      <c r="C28" s="78" t="s">
        <v>297</v>
      </c>
      <c r="D28" s="78">
        <v>24</v>
      </c>
      <c r="E28" s="78">
        <f>Table73[[#This Row],[2020]]/C130</f>
        <v>8.8202866593164282E-4</v>
      </c>
      <c r="G28" s="16" t="s">
        <v>2471</v>
      </c>
      <c r="H28" s="17">
        <v>11657</v>
      </c>
      <c r="I28" s="80">
        <f>Table74[[#This Row],[TRUMP VOTES]]/C130</f>
        <v>0.42840867328188165</v>
      </c>
      <c r="J28" s="18">
        <v>0.72299999999999998</v>
      </c>
      <c r="K28" s="17">
        <v>4195</v>
      </c>
      <c r="L28" s="80">
        <f>Table74[[#This Row],[BIDEN VOTES]]/C130</f>
        <v>0.15417126056596839</v>
      </c>
      <c r="M28" s="18">
        <v>0.26</v>
      </c>
      <c r="N28" s="80">
        <f>1-(Table74[[#This Row],[NbP]]+Table74[[#This Row],[NbP2]])</f>
        <v>0.41742006615214999</v>
      </c>
    </row>
    <row r="29" spans="1:14" ht="20">
      <c r="A29" s="78" t="s">
        <v>2411</v>
      </c>
      <c r="B29" s="78" t="s">
        <v>2391</v>
      </c>
      <c r="C29" s="78" t="s">
        <v>297</v>
      </c>
      <c r="D29" s="78">
        <v>50</v>
      </c>
      <c r="E29" s="78">
        <f>Table73[[#This Row],[2020]]/C131</f>
        <v>1.3624720693225789E-3</v>
      </c>
      <c r="G29" s="16" t="s">
        <v>2472</v>
      </c>
      <c r="H29" s="17">
        <v>13938</v>
      </c>
      <c r="I29" s="80">
        <f>Table74[[#This Row],[TRUMP VOTES]]/C131</f>
        <v>0.37980271404436211</v>
      </c>
      <c r="J29" s="18">
        <v>0.57699999999999996</v>
      </c>
      <c r="K29" s="17">
        <v>9936</v>
      </c>
      <c r="L29" s="80">
        <f>Table74[[#This Row],[BIDEN VOTES]]/C131</f>
        <v>0.27075044961578287</v>
      </c>
      <c r="M29" s="18">
        <v>0.41099999999999998</v>
      </c>
      <c r="N29" s="80">
        <f>1-(Table74[[#This Row],[NbP]]+Table74[[#This Row],[NbP2]])</f>
        <v>0.34944683633985507</v>
      </c>
    </row>
    <row r="30" spans="1:14" ht="20">
      <c r="A30" s="78" t="s">
        <v>89</v>
      </c>
      <c r="B30" s="78" t="s">
        <v>2391</v>
      </c>
      <c r="C30" s="78" t="s">
        <v>297</v>
      </c>
      <c r="D30" s="78">
        <v>448</v>
      </c>
      <c r="E30" s="78">
        <f>Table73[[#This Row],[2020]]/C132</f>
        <v>2.685255668706582E-3</v>
      </c>
      <c r="G30" s="16" t="s">
        <v>188</v>
      </c>
      <c r="H30" s="17">
        <v>64658</v>
      </c>
      <c r="I30" s="80">
        <f>Table74[[#This Row],[TRUMP VOTES]]/C132</f>
        <v>0.38755192193578164</v>
      </c>
      <c r="J30" s="18">
        <v>0.73199999999999998</v>
      </c>
      <c r="K30" s="17">
        <v>22636</v>
      </c>
      <c r="L30" s="80">
        <f>Table74[[#This Row],[BIDEN VOTES]]/C132</f>
        <v>0.13567733776080845</v>
      </c>
      <c r="M30" s="18">
        <v>0.25600000000000001</v>
      </c>
      <c r="N30" s="80">
        <f>1-(Table74[[#This Row],[NbP]]+Table74[[#This Row],[NbP2]])</f>
        <v>0.47677074030340993</v>
      </c>
    </row>
    <row r="31" spans="1:14" ht="20">
      <c r="A31" s="78" t="s">
        <v>2412</v>
      </c>
      <c r="B31" s="78" t="s">
        <v>2391</v>
      </c>
      <c r="C31" s="78" t="s">
        <v>297</v>
      </c>
      <c r="D31" s="78">
        <v>122</v>
      </c>
      <c r="E31" s="78">
        <f>Table73[[#This Row],[2020]]/C133</f>
        <v>2.8676868109912324E-3</v>
      </c>
      <c r="G31" s="16" t="s">
        <v>2473</v>
      </c>
      <c r="H31" s="17">
        <v>18228</v>
      </c>
      <c r="I31" s="80">
        <f>Table74[[#This Row],[TRUMP VOTES]]/C133</f>
        <v>0.42846061631760807</v>
      </c>
      <c r="J31" s="18">
        <v>0.72199999999999998</v>
      </c>
      <c r="K31" s="17">
        <v>6713</v>
      </c>
      <c r="L31" s="80">
        <f>Table74[[#This Row],[BIDEN VOTES]]/C133</f>
        <v>0.15779329149331264</v>
      </c>
      <c r="M31" s="18">
        <v>0.26600000000000001</v>
      </c>
      <c r="N31" s="80">
        <f>1-(Table74[[#This Row],[NbP]]+Table74[[#This Row],[NbP2]])</f>
        <v>0.41374609218907932</v>
      </c>
    </row>
    <row r="32" spans="1:14" ht="20">
      <c r="A32" s="78" t="s">
        <v>2413</v>
      </c>
      <c r="B32" s="78" t="s">
        <v>2391</v>
      </c>
      <c r="C32" s="78" t="s">
        <v>297</v>
      </c>
      <c r="D32" s="78">
        <v>148</v>
      </c>
      <c r="E32" s="78">
        <f>Table73[[#This Row],[2020]]/C134</f>
        <v>2.5099635376918512E-3</v>
      </c>
      <c r="G32" s="16" t="s">
        <v>2474</v>
      </c>
      <c r="H32" s="17">
        <v>13793</v>
      </c>
      <c r="I32" s="80">
        <f>Table74[[#This Row],[TRUMP VOTES]]/C134</f>
        <v>0.23391842618502501</v>
      </c>
      <c r="J32" s="18">
        <v>0.60799999999999998</v>
      </c>
      <c r="K32" s="17">
        <v>8767</v>
      </c>
      <c r="L32" s="80">
        <f>Table74[[#This Row],[BIDEN VOTES]]/C134</f>
        <v>0.14868142118205716</v>
      </c>
      <c r="M32" s="18">
        <v>0.38600000000000001</v>
      </c>
      <c r="N32" s="80">
        <f>1-(Table74[[#This Row],[NbP]]+Table74[[#This Row],[NbP2]])</f>
        <v>0.61740015263291781</v>
      </c>
    </row>
    <row r="33" spans="1:14" ht="20">
      <c r="A33" s="78" t="s">
        <v>2414</v>
      </c>
      <c r="B33" s="78" t="s">
        <v>2391</v>
      </c>
      <c r="C33" s="78" t="s">
        <v>297</v>
      </c>
      <c r="D33" s="78">
        <v>364</v>
      </c>
      <c r="E33" s="78">
        <f>Table73[[#This Row],[2020]]/C135</f>
        <v>1.1458612059874395E-3</v>
      </c>
      <c r="G33" s="16" t="s">
        <v>2475</v>
      </c>
      <c r="H33" s="17">
        <v>32459</v>
      </c>
      <c r="I33" s="80">
        <f>Table74[[#This Row],[TRUMP VOTES]]/C135</f>
        <v>0.10217996946468764</v>
      </c>
      <c r="J33" s="18">
        <v>0.18099999999999999</v>
      </c>
      <c r="K33" s="17">
        <v>144688</v>
      </c>
      <c r="L33" s="80">
        <f>Table74[[#This Row],[BIDEN VOTES]]/C135</f>
        <v>0.45547353343931501</v>
      </c>
      <c r="M33" s="18">
        <v>0.80700000000000005</v>
      </c>
      <c r="N33" s="80">
        <f>1-(Table74[[#This Row],[NbP]]+Table74[[#This Row],[NbP2]])</f>
        <v>0.44234649709599738</v>
      </c>
    </row>
    <row r="34" spans="1:14" ht="20">
      <c r="A34" s="78" t="s">
        <v>2415</v>
      </c>
      <c r="B34" s="78" t="s">
        <v>2391</v>
      </c>
      <c r="C34" s="78" t="s">
        <v>297</v>
      </c>
      <c r="D34" s="78">
        <v>141</v>
      </c>
      <c r="E34" s="78">
        <f>Table73[[#This Row],[2020]]/C136</f>
        <v>2.70794522652634E-3</v>
      </c>
      <c r="G34" s="16" t="s">
        <v>2476</v>
      </c>
      <c r="H34" s="17">
        <v>9206</v>
      </c>
      <c r="I34" s="80">
        <f>Table74[[#This Row],[TRUMP VOTES]]/C136</f>
        <v>0.17680385642128713</v>
      </c>
      <c r="J34" s="18">
        <v>0.36199999999999999</v>
      </c>
      <c r="K34" s="17">
        <v>16089</v>
      </c>
      <c r="L34" s="80">
        <f>Table74[[#This Row],[BIDEN VOTES]]/C136</f>
        <v>0.30899383510342049</v>
      </c>
      <c r="M34" s="18">
        <v>0.63200000000000001</v>
      </c>
      <c r="N34" s="80">
        <f>1-(Table74[[#This Row],[NbP]]+Table74[[#This Row],[NbP2]])</f>
        <v>0.51420230847529236</v>
      </c>
    </row>
    <row r="35" spans="1:14" ht="20">
      <c r="A35" s="78" t="s">
        <v>1249</v>
      </c>
      <c r="B35" s="78" t="s">
        <v>2391</v>
      </c>
      <c r="C35" s="78" t="s">
        <v>297</v>
      </c>
      <c r="D35" s="78">
        <v>532</v>
      </c>
      <c r="E35" s="78">
        <f>Table73[[#This Row],[2020]]/C137</f>
        <v>1.4055519301239897E-3</v>
      </c>
      <c r="G35" s="16" t="s">
        <v>1342</v>
      </c>
      <c r="H35" s="17">
        <v>85064</v>
      </c>
      <c r="I35" s="80">
        <f>Table74[[#This Row],[TRUMP VOTES]]/C137</f>
        <v>0.22474035598508846</v>
      </c>
      <c r="J35" s="18">
        <v>0.42399999999999999</v>
      </c>
      <c r="K35" s="17">
        <v>113033</v>
      </c>
      <c r="L35" s="80">
        <f>Table74[[#This Row],[BIDEN VOTES]]/C137</f>
        <v>0.29863487089794161</v>
      </c>
      <c r="M35" s="18">
        <v>0.56299999999999994</v>
      </c>
      <c r="N35" s="80">
        <f>1-(Table74[[#This Row],[NbP]]+Table74[[#This Row],[NbP2]])</f>
        <v>0.47662477311696994</v>
      </c>
    </row>
    <row r="36" spans="1:14" ht="20">
      <c r="A36" s="78" t="s">
        <v>96</v>
      </c>
      <c r="B36" s="78" t="s">
        <v>2391</v>
      </c>
      <c r="C36" s="78" t="s">
        <v>297</v>
      </c>
      <c r="D36" s="78">
        <v>225</v>
      </c>
      <c r="E36" s="78">
        <f>Table73[[#This Row],[2020]]/C138</f>
        <v>3.3075102532817854E-3</v>
      </c>
      <c r="G36" s="16" t="s">
        <v>195</v>
      </c>
      <c r="H36" s="17">
        <v>20901</v>
      </c>
      <c r="I36" s="80">
        <f>Table74[[#This Row],[TRUMP VOTES]]/C138</f>
        <v>0.30724565246152263</v>
      </c>
      <c r="J36" s="18">
        <v>0.56100000000000005</v>
      </c>
      <c r="K36" s="17">
        <v>15879</v>
      </c>
      <c r="L36" s="80">
        <f>Table74[[#This Row],[BIDEN VOTES]]/C138</f>
        <v>0.23342202360827319</v>
      </c>
      <c r="M36" s="18">
        <v>0.42599999999999999</v>
      </c>
      <c r="N36" s="80">
        <f>1-(Table74[[#This Row],[NbP]]+Table74[[#This Row],[NbP2]])</f>
        <v>0.45933232393020418</v>
      </c>
    </row>
    <row r="37" spans="1:14" ht="20">
      <c r="A37" s="78" t="s">
        <v>2416</v>
      </c>
      <c r="B37" s="78" t="s">
        <v>2391</v>
      </c>
      <c r="C37" s="78" t="s">
        <v>297</v>
      </c>
      <c r="D37" s="78">
        <v>365</v>
      </c>
      <c r="E37" s="78">
        <f>Table73[[#This Row],[2020]]/C139</f>
        <v>1.6432632958008995E-3</v>
      </c>
      <c r="G37" s="16" t="s">
        <v>2477</v>
      </c>
      <c r="H37" s="17">
        <v>73033</v>
      </c>
      <c r="I37" s="80">
        <f>Table74[[#This Row],[TRUMP VOTES]]/C139</f>
        <v>0.32880122817048518</v>
      </c>
      <c r="J37" s="18">
        <v>0.63400000000000001</v>
      </c>
      <c r="K37" s="17">
        <v>40959</v>
      </c>
      <c r="L37" s="80">
        <f>Table74[[#This Row],[BIDEN VOTES]]/C139</f>
        <v>0.18440115433618917</v>
      </c>
      <c r="M37" s="18">
        <v>0.35499999999999998</v>
      </c>
      <c r="N37" s="80">
        <f>1-(Table74[[#This Row],[NbP]]+Table74[[#This Row],[NbP2]])</f>
        <v>0.48679761749332562</v>
      </c>
    </row>
    <row r="38" spans="1:14" ht="20">
      <c r="A38" s="78" t="s">
        <v>2417</v>
      </c>
      <c r="B38" s="78" t="s">
        <v>2391</v>
      </c>
      <c r="C38" s="78" t="s">
        <v>297</v>
      </c>
      <c r="D38" s="78">
        <v>5</v>
      </c>
      <c r="E38" s="78">
        <f>Table73[[#This Row],[2020]]/C140</f>
        <v>4.3406545707092627E-4</v>
      </c>
      <c r="G38" s="16" t="s">
        <v>2478</v>
      </c>
      <c r="H38" s="17">
        <v>3367</v>
      </c>
      <c r="I38" s="80">
        <f>Table74[[#This Row],[TRUMP VOTES]]/C140</f>
        <v>0.29229967879156177</v>
      </c>
      <c r="J38" s="18">
        <v>0.56399999999999995</v>
      </c>
      <c r="K38" s="17">
        <v>2546</v>
      </c>
      <c r="L38" s="80">
        <f>Table74[[#This Row],[BIDEN VOTES]]/C140</f>
        <v>0.22102613074051566</v>
      </c>
      <c r="M38" s="18">
        <v>0.42699999999999999</v>
      </c>
      <c r="N38" s="80">
        <f>1-(Table74[[#This Row],[NbP]]+Table74[[#This Row],[NbP2]])</f>
        <v>0.4866741904679226</v>
      </c>
    </row>
    <row r="39" spans="1:14" ht="20">
      <c r="A39" s="78" t="s">
        <v>958</v>
      </c>
      <c r="B39" s="78" t="s">
        <v>2391</v>
      </c>
      <c r="C39" s="78" t="s">
        <v>297</v>
      </c>
      <c r="D39" s="78">
        <v>40</v>
      </c>
      <c r="E39" s="78">
        <f>Table73[[#This Row],[2020]]/C141</f>
        <v>4.7053287848488412E-3</v>
      </c>
      <c r="G39" s="16" t="s">
        <v>973</v>
      </c>
      <c r="H39" s="17">
        <v>3710</v>
      </c>
      <c r="I39" s="80">
        <f>Table74[[#This Row],[TRUMP VOTES]]/C141</f>
        <v>0.43641924479473004</v>
      </c>
      <c r="J39" s="18">
        <v>0.79600000000000004</v>
      </c>
      <c r="K39" s="19">
        <v>905</v>
      </c>
      <c r="L39" s="80">
        <f>Table74[[#This Row],[BIDEN VOTES]]/C141</f>
        <v>0.10645806375720504</v>
      </c>
      <c r="M39" s="18">
        <v>0.19400000000000001</v>
      </c>
      <c r="N39" s="80">
        <f>1-(Table74[[#This Row],[NbP]]+Table74[[#This Row],[NbP2]])</f>
        <v>0.45712269144806494</v>
      </c>
    </row>
    <row r="40" spans="1:14" ht="20">
      <c r="A40" s="78" t="s">
        <v>2418</v>
      </c>
      <c r="B40" s="78" t="s">
        <v>2391</v>
      </c>
      <c r="C40" s="78" t="s">
        <v>297</v>
      </c>
      <c r="D40" s="78">
        <v>79</v>
      </c>
      <c r="E40" s="78">
        <f>Table73[[#This Row],[2020]]/C142</f>
        <v>1.3205623255269712E-3</v>
      </c>
      <c r="G40" s="16" t="s">
        <v>2479</v>
      </c>
      <c r="H40" s="17">
        <v>16647</v>
      </c>
      <c r="I40" s="80">
        <f>Table74[[#This Row],[TRUMP VOTES]]/C142</f>
        <v>0.27827089915249986</v>
      </c>
      <c r="J40" s="18">
        <v>0.52800000000000002</v>
      </c>
      <c r="K40" s="17">
        <v>14565</v>
      </c>
      <c r="L40" s="80">
        <f>Table74[[#This Row],[BIDEN VOTES]]/C142</f>
        <v>0.24346823128228273</v>
      </c>
      <c r="M40" s="18">
        <v>0.46200000000000002</v>
      </c>
      <c r="N40" s="80">
        <f>1-(Table74[[#This Row],[NbP]]+Table74[[#This Row],[NbP2]])</f>
        <v>0.47826086956521741</v>
      </c>
    </row>
    <row r="41" spans="1:14" ht="20">
      <c r="A41" s="78" t="s">
        <v>100</v>
      </c>
      <c r="B41" s="78" t="s">
        <v>2391</v>
      </c>
      <c r="C41" s="78" t="s">
        <v>297</v>
      </c>
      <c r="D41" s="78">
        <v>21</v>
      </c>
      <c r="E41" s="78">
        <f>Table73[[#This Row],[2020]]/C143</f>
        <v>1.0006194310763807E-3</v>
      </c>
      <c r="G41" s="16" t="s">
        <v>199</v>
      </c>
      <c r="H41" s="17">
        <v>4874</v>
      </c>
      <c r="I41" s="80">
        <f>Table74[[#This Row],[TRUMP VOTES]]/C143</f>
        <v>0.23223900509839424</v>
      </c>
      <c r="J41" s="18">
        <v>0.55700000000000005</v>
      </c>
      <c r="K41" s="17">
        <v>3832</v>
      </c>
      <c r="L41" s="80">
        <f>Table74[[#This Row],[BIDEN VOTES]]/C143</f>
        <v>0.18258922189927099</v>
      </c>
      <c r="M41" s="18">
        <v>0.438</v>
      </c>
      <c r="N41" s="80">
        <f>1-(Table74[[#This Row],[NbP]]+Table74[[#This Row],[NbP2]])</f>
        <v>0.58517177300233481</v>
      </c>
    </row>
    <row r="42" spans="1:14" ht="20">
      <c r="A42" s="78" t="s">
        <v>2419</v>
      </c>
      <c r="B42" s="78" t="s">
        <v>2391</v>
      </c>
      <c r="C42" s="78" t="s">
        <v>297</v>
      </c>
      <c r="D42" s="78">
        <v>561</v>
      </c>
      <c r="E42" s="78">
        <f>Table73[[#This Row],[2020]]/C144</f>
        <v>1.0526197284578839E-3</v>
      </c>
      <c r="G42" s="16" t="s">
        <v>2480</v>
      </c>
      <c r="H42" s="17">
        <v>107294</v>
      </c>
      <c r="I42" s="80">
        <f>Table74[[#This Row],[TRUMP VOTES]]/C144</f>
        <v>0.20131868296819999</v>
      </c>
      <c r="J42" s="18">
        <v>0.378</v>
      </c>
      <c r="K42" s="17">
        <v>173086</v>
      </c>
      <c r="L42" s="80">
        <f>Table74[[#This Row],[BIDEN VOTES]]/C144</f>
        <v>0.32476602196053705</v>
      </c>
      <c r="M42" s="18">
        <v>0.61</v>
      </c>
      <c r="N42" s="80">
        <f>1-(Table74[[#This Row],[NbP]]+Table74[[#This Row],[NbP2]])</f>
        <v>0.47391529507126295</v>
      </c>
    </row>
    <row r="43" spans="1:14" ht="20">
      <c r="A43" s="78" t="s">
        <v>2420</v>
      </c>
      <c r="B43" s="78" t="s">
        <v>2391</v>
      </c>
      <c r="C43" s="78" t="s">
        <v>297</v>
      </c>
      <c r="D43" s="78">
        <v>89</v>
      </c>
      <c r="E43" s="78">
        <f>Table73[[#This Row],[2020]]/C145</f>
        <v>1.7561861162634675E-3</v>
      </c>
      <c r="G43" s="16" t="s">
        <v>2481</v>
      </c>
      <c r="H43" s="17">
        <v>10080</v>
      </c>
      <c r="I43" s="80">
        <f>Table74[[#This Row],[TRUMP VOTES]]/C145</f>
        <v>0.19890287698804215</v>
      </c>
      <c r="J43" s="18">
        <v>0.39200000000000002</v>
      </c>
      <c r="K43" s="17">
        <v>15545</v>
      </c>
      <c r="L43" s="80">
        <f>Table74[[#This Row],[BIDEN VOTES]]/C145</f>
        <v>0.30674059749792809</v>
      </c>
      <c r="M43" s="18">
        <v>0.60399999999999998</v>
      </c>
      <c r="N43" s="80">
        <f>1-(Table74[[#This Row],[NbP]]+Table74[[#This Row],[NbP2]])</f>
        <v>0.49435652551402975</v>
      </c>
    </row>
    <row r="44" spans="1:14" ht="20">
      <c r="A44" s="78" t="s">
        <v>2421</v>
      </c>
      <c r="B44" s="78" t="s">
        <v>2391</v>
      </c>
      <c r="C44" s="78" t="s">
        <v>297</v>
      </c>
      <c r="D44" s="78">
        <v>278</v>
      </c>
      <c r="E44" s="78">
        <f>Table73[[#This Row],[2020]]/C146</f>
        <v>2.0695610743850872E-3</v>
      </c>
      <c r="G44" s="16" t="s">
        <v>2482</v>
      </c>
      <c r="H44" s="17">
        <v>35177</v>
      </c>
      <c r="I44" s="80">
        <f>Table74[[#This Row],[TRUMP VOTES]]/C146</f>
        <v>0.26187392055267705</v>
      </c>
      <c r="J44" s="18">
        <v>0.60499999999999998</v>
      </c>
      <c r="K44" s="17">
        <v>22093</v>
      </c>
      <c r="L44" s="80">
        <f>Table74[[#This Row],[BIDEN VOTES]]/C146</f>
        <v>0.16447054969924363</v>
      </c>
      <c r="M44" s="18">
        <v>0.38</v>
      </c>
      <c r="N44" s="80">
        <f>1-(Table74[[#This Row],[NbP]]+Table74[[#This Row],[NbP2]])</f>
        <v>0.57365552974807932</v>
      </c>
    </row>
    <row r="45" spans="1:14" ht="20">
      <c r="A45" s="78" t="s">
        <v>108</v>
      </c>
      <c r="B45" s="78" t="s">
        <v>2391</v>
      </c>
      <c r="C45" s="78" t="s">
        <v>297</v>
      </c>
      <c r="D45" s="78">
        <v>218</v>
      </c>
      <c r="E45" s="78">
        <f>Table73[[#This Row],[2020]]/C147</f>
        <v>3.5239727134589892E-3</v>
      </c>
      <c r="G45" s="16" t="s">
        <v>207</v>
      </c>
      <c r="H45" s="17">
        <v>22834</v>
      </c>
      <c r="I45" s="80">
        <f>Table74[[#This Row],[TRUMP VOTES]]/C147</f>
        <v>0.36911189421615853</v>
      </c>
      <c r="J45" s="18">
        <v>0.626</v>
      </c>
      <c r="K45" s="17">
        <v>13144</v>
      </c>
      <c r="L45" s="80">
        <f>Table74[[#This Row],[BIDEN VOTES]]/C147</f>
        <v>0.21247292360415118</v>
      </c>
      <c r="M45" s="18">
        <v>0.36099999999999999</v>
      </c>
      <c r="N45" s="80">
        <f>1-(Table74[[#This Row],[NbP]]+Table74[[#This Row],[NbP2]])</f>
        <v>0.41841518217969031</v>
      </c>
    </row>
    <row r="46" spans="1:14" ht="20">
      <c r="A46" s="78" t="s">
        <v>109</v>
      </c>
      <c r="B46" s="78" t="s">
        <v>2391</v>
      </c>
      <c r="C46" s="78" t="s">
        <v>297</v>
      </c>
      <c r="D46" s="78">
        <v>231</v>
      </c>
      <c r="E46" s="78">
        <f>Table73[[#This Row],[2020]]/C148</f>
        <v>1.9862766341639583E-3</v>
      </c>
      <c r="G46" s="16" t="s">
        <v>208</v>
      </c>
      <c r="H46" s="17">
        <v>40032</v>
      </c>
      <c r="I46" s="80">
        <f>Table74[[#This Row],[TRUMP VOTES]]/C148</f>
        <v>0.34421916112056955</v>
      </c>
      <c r="J46" s="18">
        <v>0.58699999999999997</v>
      </c>
      <c r="K46" s="17">
        <v>27211</v>
      </c>
      <c r="L46" s="80">
        <f>Table74[[#This Row],[BIDEN VOTES]]/C148</f>
        <v>0.23397650862439595</v>
      </c>
      <c r="M46" s="18">
        <v>0.39900000000000002</v>
      </c>
      <c r="N46" s="80">
        <f>1-(Table74[[#This Row],[NbP]]+Table74[[#This Row],[NbP2]])</f>
        <v>0.4218043302550345</v>
      </c>
    </row>
    <row r="47" spans="1:14" ht="20">
      <c r="A47" s="78" t="s">
        <v>2422</v>
      </c>
      <c r="B47" s="78" t="s">
        <v>2391</v>
      </c>
      <c r="C47" s="78" t="s">
        <v>297</v>
      </c>
      <c r="D47" s="78">
        <v>6</v>
      </c>
      <c r="E47" s="78">
        <f>Table73[[#This Row],[2020]]/C149</f>
        <v>2.5261030650050522E-4</v>
      </c>
      <c r="G47" s="16" t="s">
        <v>2483</v>
      </c>
      <c r="H47" s="17">
        <v>3479</v>
      </c>
      <c r="I47" s="80">
        <f>Table74[[#This Row],[TRUMP VOTES]]/C149</f>
        <v>0.14647187605254294</v>
      </c>
      <c r="J47" s="18">
        <v>0.32800000000000001</v>
      </c>
      <c r="K47" s="17">
        <v>7097</v>
      </c>
      <c r="L47" s="80">
        <f>Table74[[#This Row],[BIDEN VOTES]]/C149</f>
        <v>0.29879589087234759</v>
      </c>
      <c r="M47" s="18">
        <v>0.66800000000000004</v>
      </c>
      <c r="N47" s="80">
        <f>1-(Table74[[#This Row],[NbP]]+Table74[[#This Row],[NbP2]])</f>
        <v>0.55473223307510944</v>
      </c>
    </row>
    <row r="48" spans="1:14" ht="20">
      <c r="A48" s="78" t="s">
        <v>2423</v>
      </c>
      <c r="B48" s="78" t="s">
        <v>2391</v>
      </c>
      <c r="C48" s="78" t="s">
        <v>297</v>
      </c>
      <c r="D48" s="78">
        <v>136</v>
      </c>
      <c r="E48" s="78">
        <f>Table73[[#This Row],[2020]]/C150</f>
        <v>2.4912987726689868E-3</v>
      </c>
      <c r="G48" s="16" t="s">
        <v>2484</v>
      </c>
      <c r="H48" s="17">
        <v>9453</v>
      </c>
      <c r="I48" s="80">
        <f>Table74[[#This Row],[TRUMP VOTES]]/C150</f>
        <v>0.17316358307382304</v>
      </c>
      <c r="J48" s="18">
        <v>0.438</v>
      </c>
      <c r="K48" s="17">
        <v>11804</v>
      </c>
      <c r="L48" s="80">
        <f>Table74[[#This Row],[BIDEN VOTES]]/C150</f>
        <v>0.21623007876900532</v>
      </c>
      <c r="M48" s="18">
        <v>0.54600000000000004</v>
      </c>
      <c r="N48" s="80">
        <f>1-(Table74[[#This Row],[NbP]]+Table74[[#This Row],[NbP2]])</f>
        <v>0.61060633815717158</v>
      </c>
    </row>
    <row r="49" spans="1:14" ht="20">
      <c r="A49" s="78" t="s">
        <v>2424</v>
      </c>
      <c r="B49" s="78" t="s">
        <v>2391</v>
      </c>
      <c r="C49" s="78" t="s">
        <v>297</v>
      </c>
      <c r="D49" s="78">
        <v>0</v>
      </c>
      <c r="E49" s="78">
        <f>Table73[[#This Row],[2020]]/C151</f>
        <v>0</v>
      </c>
      <c r="G49" s="16" t="s">
        <v>2485</v>
      </c>
      <c r="H49" s="17">
        <v>1418</v>
      </c>
      <c r="I49" s="80">
        <f>Table74[[#This Row],[TRUMP VOTES]]/C151</f>
        <v>0.27864020436235015</v>
      </c>
      <c r="J49" s="18">
        <v>0.56999999999999995</v>
      </c>
      <c r="K49" s="17">
        <v>1046</v>
      </c>
      <c r="L49" s="80">
        <f>Table74[[#This Row],[BIDEN VOTES]]/C151</f>
        <v>0.20554136372568285</v>
      </c>
      <c r="M49" s="18">
        <v>0.42</v>
      </c>
      <c r="N49" s="80">
        <f>1-(Table74[[#This Row],[NbP]]+Table74[[#This Row],[NbP2]])</f>
        <v>0.51581843191196697</v>
      </c>
    </row>
    <row r="50" spans="1:14" ht="20">
      <c r="A50" s="78" t="s">
        <v>2425</v>
      </c>
      <c r="B50" s="78" t="s">
        <v>2391</v>
      </c>
      <c r="C50" s="78" t="s">
        <v>297</v>
      </c>
      <c r="D50" s="78">
        <v>384</v>
      </c>
      <c r="E50" s="78">
        <f>Table73[[#This Row],[2020]]/C152</f>
        <v>2.1470145873985899E-3</v>
      </c>
      <c r="G50" s="16" t="s">
        <v>2486</v>
      </c>
      <c r="H50" s="17">
        <v>67010</v>
      </c>
      <c r="I50" s="80">
        <f>Table74[[#This Row],[TRUMP VOTES]]/C152</f>
        <v>0.37466522786869666</v>
      </c>
      <c r="J50" s="18">
        <v>0.65600000000000003</v>
      </c>
      <c r="K50" s="17">
        <v>33888</v>
      </c>
      <c r="L50" s="80">
        <f>Table74[[#This Row],[BIDEN VOTES]]/C152</f>
        <v>0.18947403733792556</v>
      </c>
      <c r="M50" s="18">
        <v>0.33200000000000002</v>
      </c>
      <c r="N50" s="80">
        <f>1-(Table74[[#This Row],[NbP]]+Table74[[#This Row],[NbP2]])</f>
        <v>0.43586073479337784</v>
      </c>
    </row>
    <row r="51" spans="1:14" ht="20">
      <c r="A51" s="78" t="s">
        <v>114</v>
      </c>
      <c r="B51" s="78" t="s">
        <v>2391</v>
      </c>
      <c r="C51" s="78" t="s">
        <v>297</v>
      </c>
      <c r="D51" s="78">
        <v>66</v>
      </c>
      <c r="E51" s="78">
        <f>Table73[[#This Row],[2020]]/C153</f>
        <v>1.5195119143547829E-3</v>
      </c>
      <c r="G51" s="16" t="s">
        <v>213</v>
      </c>
      <c r="H51" s="17">
        <v>11356</v>
      </c>
      <c r="I51" s="80">
        <f>Table74[[#This Row],[TRUMP VOTES]]/C153</f>
        <v>0.26144814090019569</v>
      </c>
      <c r="J51" s="18">
        <v>0.53200000000000003</v>
      </c>
      <c r="K51" s="17">
        <v>9591</v>
      </c>
      <c r="L51" s="80">
        <f>Table74[[#This Row],[BIDEN VOTES]]/C153</f>
        <v>0.22081270864510189</v>
      </c>
      <c r="M51" s="18">
        <v>0.44900000000000001</v>
      </c>
      <c r="N51" s="80">
        <f>1-(Table74[[#This Row],[NbP]]+Table74[[#This Row],[NbP2]])</f>
        <v>0.51773915045470242</v>
      </c>
    </row>
    <row r="52" spans="1:14" ht="20">
      <c r="A52" s="78" t="s">
        <v>2426</v>
      </c>
      <c r="B52" s="78" t="s">
        <v>2391</v>
      </c>
      <c r="C52" s="78" t="s">
        <v>297</v>
      </c>
      <c r="D52" s="78">
        <v>490</v>
      </c>
      <c r="E52" s="78">
        <f>Table73[[#This Row],[2020]]/C154</f>
        <v>2.4101363448560805E-3</v>
      </c>
      <c r="G52" s="16" t="s">
        <v>2487</v>
      </c>
      <c r="H52" s="17">
        <v>68353</v>
      </c>
      <c r="I52" s="80">
        <f>Table74[[#This Row],[TRUMP VOTES]]/C154</f>
        <v>0.33620418281621972</v>
      </c>
      <c r="J52" s="18">
        <v>0.61499999999999999</v>
      </c>
      <c r="K52" s="17">
        <v>41257</v>
      </c>
      <c r="L52" s="80">
        <f>Table74[[#This Row],[BIDEN VOTES]]/C154</f>
        <v>0.20292856159128023</v>
      </c>
      <c r="M52" s="18">
        <v>0.371</v>
      </c>
      <c r="N52" s="80">
        <f>1-(Table74[[#This Row],[NbP]]+Table74[[#This Row],[NbP2]])</f>
        <v>0.46086725559250008</v>
      </c>
    </row>
    <row r="53" spans="1:14" ht="20">
      <c r="A53" s="78" t="s">
        <v>671</v>
      </c>
      <c r="B53" s="78" t="s">
        <v>2391</v>
      </c>
      <c r="C53" s="78" t="s">
        <v>297</v>
      </c>
      <c r="D53" s="78">
        <v>25</v>
      </c>
      <c r="E53" s="78">
        <f>Table73[[#This Row],[2020]]/C155</f>
        <v>2.6446630699248916E-3</v>
      </c>
      <c r="G53" s="16" t="s">
        <v>444</v>
      </c>
      <c r="H53" s="17">
        <v>3280</v>
      </c>
      <c r="I53" s="80">
        <f>Table74[[#This Row],[TRUMP VOTES]]/C155</f>
        <v>0.34697979477414576</v>
      </c>
      <c r="J53" s="18">
        <v>0.59399999999999997</v>
      </c>
      <c r="K53" s="17">
        <v>2197</v>
      </c>
      <c r="L53" s="80">
        <f>Table74[[#This Row],[BIDEN VOTES]]/C155</f>
        <v>0.23241299058499948</v>
      </c>
      <c r="M53" s="18">
        <v>0.39800000000000002</v>
      </c>
      <c r="N53" s="80">
        <f>1-(Table74[[#This Row],[NbP]]+Table74[[#This Row],[NbP2]])</f>
        <v>0.42060721464085482</v>
      </c>
    </row>
    <row r="54" spans="1:14" ht="20">
      <c r="A54" s="78" t="s">
        <v>687</v>
      </c>
      <c r="B54" s="78" t="s">
        <v>2391</v>
      </c>
      <c r="C54" s="78" t="s">
        <v>297</v>
      </c>
      <c r="D54" s="78">
        <v>40</v>
      </c>
      <c r="E54" s="78">
        <f>Table73[[#This Row],[2020]]/C156</f>
        <v>6.5484668402010374E-4</v>
      </c>
      <c r="G54" s="16" t="s">
        <v>459</v>
      </c>
      <c r="H54" s="17">
        <v>16469</v>
      </c>
      <c r="I54" s="80">
        <f>Table74[[#This Row],[TRUMP VOTES]]/C156</f>
        <v>0.26961675097817722</v>
      </c>
      <c r="J54" s="18">
        <v>0.56899999999999995</v>
      </c>
      <c r="K54" s="17">
        <v>12143</v>
      </c>
      <c r="L54" s="80">
        <f>Table74[[#This Row],[BIDEN VOTES]]/C156</f>
        <v>0.19879508210140301</v>
      </c>
      <c r="M54" s="18">
        <v>0.41899999999999998</v>
      </c>
      <c r="N54" s="80">
        <f>1-(Table74[[#This Row],[NbP]]+Table74[[#This Row],[NbP2]])</f>
        <v>0.53158816692041977</v>
      </c>
    </row>
    <row r="55" spans="1:14" ht="20">
      <c r="A55" s="78" t="s">
        <v>2427</v>
      </c>
      <c r="B55" s="78" t="s">
        <v>2391</v>
      </c>
      <c r="C55" s="78" t="s">
        <v>297</v>
      </c>
      <c r="D55" s="78">
        <v>144</v>
      </c>
      <c r="E55" s="78">
        <f>Table73[[#This Row],[2020]]/C157</f>
        <v>2.5554569653948537E-3</v>
      </c>
      <c r="G55" s="16" t="s">
        <v>2488</v>
      </c>
      <c r="H55" s="17">
        <v>14590</v>
      </c>
      <c r="I55" s="80">
        <f>Table74[[#This Row],[TRUMP VOTES]]/C157</f>
        <v>0.25891748003549248</v>
      </c>
      <c r="J55" s="18">
        <v>0.51400000000000001</v>
      </c>
      <c r="K55" s="17">
        <v>13605</v>
      </c>
      <c r="L55" s="80">
        <f>Table74[[#This Row],[BIDEN VOTES]]/C157</f>
        <v>0.24143744454303462</v>
      </c>
      <c r="M55" s="18">
        <v>0.47899999999999998</v>
      </c>
      <c r="N55" s="80">
        <f>1-(Table74[[#This Row],[NbP]]+Table74[[#This Row],[NbP2]])</f>
        <v>0.49964507542147296</v>
      </c>
    </row>
    <row r="56" spans="1:14" ht="20">
      <c r="A56" s="78" t="s">
        <v>122</v>
      </c>
      <c r="B56" s="78" t="s">
        <v>2391</v>
      </c>
      <c r="C56" s="78" t="s">
        <v>297</v>
      </c>
      <c r="D56" s="78">
        <v>159</v>
      </c>
      <c r="E56" s="78">
        <f>Table73[[#This Row],[2020]]/C158</f>
        <v>1.8798770394892409E-3</v>
      </c>
      <c r="G56" s="16" t="s">
        <v>221</v>
      </c>
      <c r="H56" s="17">
        <v>36341</v>
      </c>
      <c r="I56" s="80">
        <f>Table74[[#This Row],[TRUMP VOTES]]/C158</f>
        <v>0.42966422322061953</v>
      </c>
      <c r="J56" s="18">
        <v>0.72499999999999998</v>
      </c>
      <c r="K56" s="17">
        <v>13274</v>
      </c>
      <c r="L56" s="80">
        <f>Table74[[#This Row],[BIDEN VOTES]]/C158</f>
        <v>0.15694017498226531</v>
      </c>
      <c r="M56" s="18">
        <v>0.26500000000000001</v>
      </c>
      <c r="N56" s="80">
        <f>1-(Table74[[#This Row],[NbP]]+Table74[[#This Row],[NbP2]])</f>
        <v>0.41339560179711521</v>
      </c>
    </row>
    <row r="57" spans="1:14" ht="20">
      <c r="A57" s="78" t="s">
        <v>124</v>
      </c>
      <c r="B57" s="78" t="s">
        <v>2391</v>
      </c>
      <c r="C57" s="78" t="s">
        <v>297</v>
      </c>
      <c r="D57" s="78">
        <v>57</v>
      </c>
      <c r="E57" s="78">
        <f>Table73[[#This Row],[2020]]/C159</f>
        <v>1.6206073012623677E-3</v>
      </c>
      <c r="G57" s="16" t="s">
        <v>225</v>
      </c>
      <c r="H57" s="17">
        <v>14211</v>
      </c>
      <c r="I57" s="80">
        <f>Table74[[#This Row],[TRUMP VOTES]]/C159</f>
        <v>0.404042988741044</v>
      </c>
      <c r="J57" s="18">
        <v>0.68799999999999994</v>
      </c>
      <c r="K57" s="17">
        <v>6230</v>
      </c>
      <c r="L57" s="80">
        <f>Table74[[#This Row],[BIDEN VOTES]]/C159</f>
        <v>0.17712953485727284</v>
      </c>
      <c r="M57" s="18">
        <v>0.30099999999999999</v>
      </c>
      <c r="N57" s="80">
        <f>1-(Table74[[#This Row],[NbP]]+Table74[[#This Row],[NbP2]])</f>
        <v>0.41882747640168316</v>
      </c>
    </row>
    <row r="58" spans="1:14" ht="20">
      <c r="A58" s="78" t="s">
        <v>125</v>
      </c>
      <c r="B58" s="78" t="s">
        <v>2391</v>
      </c>
      <c r="C58" s="78" t="s">
        <v>297</v>
      </c>
      <c r="D58" s="78">
        <v>28</v>
      </c>
      <c r="E58" s="78">
        <f>Table73[[#This Row],[2020]]/C160</f>
        <v>1.295816364309515E-3</v>
      </c>
      <c r="G58" s="16" t="s">
        <v>226</v>
      </c>
      <c r="H58" s="17">
        <v>7979</v>
      </c>
      <c r="I58" s="80">
        <f>Table74[[#This Row],[TRUMP VOTES]]/C160</f>
        <v>0.3692613846723436</v>
      </c>
      <c r="J58" s="18">
        <v>0.61199999999999999</v>
      </c>
      <c r="K58" s="17">
        <v>4901</v>
      </c>
      <c r="L58" s="80">
        <f>Table74[[#This Row],[BIDEN VOTES]]/C160</f>
        <v>0.22681414291003332</v>
      </c>
      <c r="M58" s="18">
        <v>0.376</v>
      </c>
      <c r="N58" s="80">
        <f>1-(Table74[[#This Row],[NbP]]+Table74[[#This Row],[NbP2]])</f>
        <v>0.40392447241762308</v>
      </c>
    </row>
    <row r="59" spans="1:14" ht="20">
      <c r="A59" s="78" t="s">
        <v>700</v>
      </c>
      <c r="B59" s="78" t="s">
        <v>2391</v>
      </c>
      <c r="C59" s="78" t="s">
        <v>297</v>
      </c>
      <c r="D59" s="78">
        <v>26</v>
      </c>
      <c r="E59" s="78">
        <f>Table73[[#This Row],[2020]]/C161</f>
        <v>1.1482070305599717E-3</v>
      </c>
      <c r="G59" s="16" t="s">
        <v>469</v>
      </c>
      <c r="H59" s="17">
        <v>6532</v>
      </c>
      <c r="I59" s="80">
        <f>Table74[[#This Row],[TRUMP VOTES]]/C161</f>
        <v>0.28846493552375907</v>
      </c>
      <c r="J59" s="18">
        <v>0.52100000000000002</v>
      </c>
      <c r="K59" s="17">
        <v>5911</v>
      </c>
      <c r="L59" s="80">
        <f>Table74[[#This Row],[BIDEN VOTES]]/C161</f>
        <v>0.26104045221692279</v>
      </c>
      <c r="M59" s="18">
        <v>0.47199999999999998</v>
      </c>
      <c r="N59" s="80">
        <f>1-(Table74[[#This Row],[NbP]]+Table74[[#This Row],[NbP2]])</f>
        <v>0.45049461225931808</v>
      </c>
    </row>
    <row r="60" spans="1:14" ht="20">
      <c r="A60" s="78" t="s">
        <v>870</v>
      </c>
      <c r="B60" s="78" t="s">
        <v>2391</v>
      </c>
      <c r="C60" s="78" t="s">
        <v>297</v>
      </c>
      <c r="D60" s="78">
        <v>145</v>
      </c>
      <c r="E60" s="78">
        <f>Table73[[#This Row],[2020]]/C162</f>
        <v>3.1936919078454692E-3</v>
      </c>
      <c r="G60" s="16" t="s">
        <v>838</v>
      </c>
      <c r="H60" s="17">
        <v>16883</v>
      </c>
      <c r="I60" s="80">
        <f>Table74[[#This Row],[TRUMP VOTES]]/C162</f>
        <v>0.37185586538037974</v>
      </c>
      <c r="J60" s="18">
        <v>0.73499999999999999</v>
      </c>
      <c r="K60" s="17">
        <v>5832</v>
      </c>
      <c r="L60" s="80">
        <f>Table74[[#This Row],[BIDEN VOTES]]/C162</f>
        <v>0.12845249107968812</v>
      </c>
      <c r="M60" s="18">
        <v>0.254</v>
      </c>
      <c r="N60" s="80">
        <f>1-(Table74[[#This Row],[NbP]]+Table74[[#This Row],[NbP2]])</f>
        <v>0.49969164353993212</v>
      </c>
    </row>
    <row r="61" spans="1:14" ht="20">
      <c r="A61" s="78" t="s">
        <v>2428</v>
      </c>
      <c r="B61" s="78" t="s">
        <v>2391</v>
      </c>
      <c r="C61" s="78" t="s">
        <v>297</v>
      </c>
      <c r="D61" s="94">
        <v>2108</v>
      </c>
      <c r="E61" s="78">
        <f>Table73[[#This Row],[2020]]/C163</f>
        <v>1.9248153254745838E-3</v>
      </c>
      <c r="G61" s="16" t="s">
        <v>2489</v>
      </c>
      <c r="H61" s="17">
        <v>179211</v>
      </c>
      <c r="I61" s="80">
        <f>Table74[[#This Row],[TRUMP VOTES]]/C163</f>
        <v>0.16363760877306718</v>
      </c>
      <c r="J61" s="18">
        <v>0.317</v>
      </c>
      <c r="K61" s="17">
        <v>378107</v>
      </c>
      <c r="L61" s="80">
        <f>Table74[[#This Row],[BIDEN VOTES]]/C163</f>
        <v>0.3452495959531397</v>
      </c>
      <c r="M61" s="18">
        <v>0.66900000000000004</v>
      </c>
      <c r="N61" s="80">
        <f>1-(Table74[[#This Row],[NbP]]+Table74[[#This Row],[NbP2]])</f>
        <v>0.49111279527379315</v>
      </c>
    </row>
    <row r="62" spans="1:14" ht="20">
      <c r="A62" s="78" t="s">
        <v>709</v>
      </c>
      <c r="B62" s="78" t="s">
        <v>2391</v>
      </c>
      <c r="C62" s="78" t="s">
        <v>297</v>
      </c>
      <c r="D62" s="78">
        <v>31</v>
      </c>
      <c r="E62" s="78">
        <f>Table73[[#This Row],[2020]]/C164</f>
        <v>2.0723310381710008E-3</v>
      </c>
      <c r="G62" s="16" t="s">
        <v>481</v>
      </c>
      <c r="H62" s="17">
        <v>7090</v>
      </c>
      <c r="I62" s="80">
        <f>Table74[[#This Row],[TRUMP VOTES]]/C164</f>
        <v>0.47396216324620627</v>
      </c>
      <c r="J62" s="18">
        <v>0.78500000000000003</v>
      </c>
      <c r="K62" s="17">
        <v>1867</v>
      </c>
      <c r="L62" s="80">
        <f>Table74[[#This Row],[BIDEN VOTES]]/C164</f>
        <v>0.12480780800855672</v>
      </c>
      <c r="M62" s="18">
        <v>0.20699999999999999</v>
      </c>
      <c r="N62" s="80">
        <f>1-(Table74[[#This Row],[NbP]]+Table74[[#This Row],[NbP2]])</f>
        <v>0.40123002874523706</v>
      </c>
    </row>
    <row r="63" spans="1:14" ht="20">
      <c r="A63" s="78" t="s">
        <v>133</v>
      </c>
      <c r="B63" s="78" t="s">
        <v>2391</v>
      </c>
      <c r="C63" s="78" t="s">
        <v>297</v>
      </c>
      <c r="D63" s="78">
        <v>35</v>
      </c>
      <c r="E63" s="78">
        <f>Table73[[#This Row],[2020]]/C165</f>
        <v>1.2856775520699408E-3</v>
      </c>
      <c r="G63" s="16" t="s">
        <v>232</v>
      </c>
      <c r="H63" s="17">
        <v>8411</v>
      </c>
      <c r="I63" s="80">
        <f>Table74[[#This Row],[TRUMP VOTES]]/C165</f>
        <v>0.30896668258457921</v>
      </c>
      <c r="J63" s="18">
        <v>0.65500000000000003</v>
      </c>
      <c r="K63" s="17">
        <v>4327</v>
      </c>
      <c r="L63" s="80">
        <f>Table74[[#This Row],[BIDEN VOTES]]/C165</f>
        <v>0.15894647908018955</v>
      </c>
      <c r="M63" s="18">
        <v>0.33700000000000002</v>
      </c>
      <c r="N63" s="80">
        <f>1-(Table74[[#This Row],[NbP]]+Table74[[#This Row],[NbP2]])</f>
        <v>0.53208683833523129</v>
      </c>
    </row>
    <row r="64" spans="1:14" ht="20">
      <c r="A64" s="78" t="s">
        <v>134</v>
      </c>
      <c r="B64" s="78" t="s">
        <v>2391</v>
      </c>
      <c r="C64" s="78" t="s">
        <v>297</v>
      </c>
      <c r="D64" s="78">
        <v>172</v>
      </c>
      <c r="E64" s="78">
        <f>Table73[[#This Row],[2020]]/C166</f>
        <v>1.7327705187229884E-3</v>
      </c>
      <c r="G64" s="16" t="s">
        <v>233</v>
      </c>
      <c r="H64" s="17">
        <v>36764</v>
      </c>
      <c r="I64" s="80">
        <f>Table74[[#This Row],[TRUMP VOTES]]/C166</f>
        <v>0.37036962412983687</v>
      </c>
      <c r="J64" s="18">
        <v>0.63100000000000001</v>
      </c>
      <c r="K64" s="17">
        <v>20779</v>
      </c>
      <c r="L64" s="80">
        <f>Table74[[#This Row],[BIDEN VOTES]]/C166</f>
        <v>0.20933278260781962</v>
      </c>
      <c r="M64" s="18">
        <v>0.35699999999999998</v>
      </c>
      <c r="N64" s="80">
        <f>1-(Table74[[#This Row],[NbP]]+Table74[[#This Row],[NbP2]])</f>
        <v>0.42029759326234351</v>
      </c>
    </row>
    <row r="65" spans="1:14" ht="20">
      <c r="A65" s="78" t="s">
        <v>2429</v>
      </c>
      <c r="B65" s="78" t="s">
        <v>2391</v>
      </c>
      <c r="C65" s="78" t="s">
        <v>297</v>
      </c>
      <c r="D65" s="78">
        <v>147</v>
      </c>
      <c r="E65" s="78">
        <f>Table73[[#This Row],[2020]]/C167</f>
        <v>1.5590696490502402E-3</v>
      </c>
      <c r="G65" s="16" t="s">
        <v>2490</v>
      </c>
      <c r="H65" s="17">
        <v>25827</v>
      </c>
      <c r="I65" s="80">
        <f>Table74[[#This Row],[TRUMP VOTES]]/C167</f>
        <v>0.27391899201374525</v>
      </c>
      <c r="J65" s="18">
        <v>0.495</v>
      </c>
      <c r="K65" s="17">
        <v>25947</v>
      </c>
      <c r="L65" s="80">
        <f>Table74[[#This Row],[BIDEN VOTES]]/C167</f>
        <v>0.2751917019313373</v>
      </c>
      <c r="M65" s="18">
        <v>0.497</v>
      </c>
      <c r="N65" s="80">
        <f>1-(Table74[[#This Row],[NbP]]+Table74[[#This Row],[NbP2]])</f>
        <v>0.4508893060549175</v>
      </c>
    </row>
    <row r="66" spans="1:14" ht="20">
      <c r="A66" s="78" t="s">
        <v>2430</v>
      </c>
      <c r="B66" s="78" t="s">
        <v>2391</v>
      </c>
      <c r="C66" s="78" t="s">
        <v>297</v>
      </c>
      <c r="D66" s="78">
        <v>628</v>
      </c>
      <c r="E66" s="78">
        <f>Table73[[#This Row],[2020]]/C168</f>
        <v>2.7133524592997133E-3</v>
      </c>
      <c r="G66" s="16" t="s">
        <v>2491</v>
      </c>
      <c r="H66" s="17">
        <v>63331</v>
      </c>
      <c r="I66" s="80">
        <f>Table74[[#This Row],[TRUMP VOTES]]/C168</f>
        <v>0.27362949777055751</v>
      </c>
      <c r="J66" s="18">
        <v>0.48199999999999998</v>
      </c>
      <c r="K66" s="17">
        <v>66138</v>
      </c>
      <c r="L66" s="80">
        <f>Table74[[#This Row],[BIDEN VOTES]]/C168</f>
        <v>0.28575749196363764</v>
      </c>
      <c r="M66" s="18">
        <v>0.503</v>
      </c>
      <c r="N66" s="80">
        <f>1-(Table74[[#This Row],[NbP]]+Table74[[#This Row],[NbP2]])</f>
        <v>0.44061301026580479</v>
      </c>
    </row>
    <row r="67" spans="1:14" ht="20">
      <c r="A67" s="78" t="s">
        <v>2431</v>
      </c>
      <c r="B67" s="78" t="s">
        <v>2391</v>
      </c>
      <c r="C67" s="78" t="s">
        <v>297</v>
      </c>
      <c r="D67" s="78">
        <v>12</v>
      </c>
      <c r="E67" s="78">
        <f>Table73[[#This Row],[2020]]/C169</f>
        <v>6.1000406669377792E-4</v>
      </c>
      <c r="G67" s="16" t="s">
        <v>2492</v>
      </c>
      <c r="H67" s="17">
        <v>3989</v>
      </c>
      <c r="I67" s="80">
        <f>Table74[[#This Row],[TRUMP VOTES]]/C169</f>
        <v>0.20277551850345668</v>
      </c>
      <c r="J67" s="18">
        <v>0.39500000000000002</v>
      </c>
      <c r="K67" s="17">
        <v>6069</v>
      </c>
      <c r="L67" s="80">
        <f>Table74[[#This Row],[BIDEN VOTES]]/C169</f>
        <v>0.30850955673037822</v>
      </c>
      <c r="M67" s="18">
        <v>0.60099999999999998</v>
      </c>
      <c r="N67" s="80">
        <f>1-(Table74[[#This Row],[NbP]]+Table74[[#This Row],[NbP2]])</f>
        <v>0.48871492476616507</v>
      </c>
    </row>
    <row r="68" spans="1:14" ht="20">
      <c r="A68" s="78" t="s">
        <v>2432</v>
      </c>
      <c r="B68" s="78" t="s">
        <v>2391</v>
      </c>
      <c r="C68" s="78" t="s">
        <v>297</v>
      </c>
      <c r="D68" s="78">
        <v>516</v>
      </c>
      <c r="E68" s="78">
        <f>Table73[[#This Row],[2020]]/C170</f>
        <v>2.6011079913498035E-3</v>
      </c>
      <c r="G68" s="16" t="s">
        <v>2493</v>
      </c>
      <c r="H68" s="17">
        <v>46078</v>
      </c>
      <c r="I68" s="80">
        <f>Table74[[#This Row],[TRUMP VOTES]]/C170</f>
        <v>0.23227491090196947</v>
      </c>
      <c r="J68" s="18">
        <v>0.63900000000000001</v>
      </c>
      <c r="K68" s="17">
        <v>24266</v>
      </c>
      <c r="L68" s="80">
        <f>Table74[[#This Row],[BIDEN VOTES]]/C170</f>
        <v>0.12232264829088049</v>
      </c>
      <c r="M68" s="18">
        <v>0.33700000000000002</v>
      </c>
      <c r="N68" s="80">
        <f>1-(Table74[[#This Row],[NbP]]+Table74[[#This Row],[NbP2]])</f>
        <v>0.64540244080715004</v>
      </c>
    </row>
    <row r="69" spans="1:14" ht="20">
      <c r="A69" s="78" t="s">
        <v>720</v>
      </c>
      <c r="B69" s="78" t="s">
        <v>2391</v>
      </c>
      <c r="C69" s="78" t="s">
        <v>297</v>
      </c>
      <c r="D69" s="78">
        <v>291</v>
      </c>
      <c r="E69" s="78">
        <f>Table73[[#This Row],[2020]]/C171</f>
        <v>1.9883296664252427E-3</v>
      </c>
      <c r="G69" s="16" t="s">
        <v>491</v>
      </c>
      <c r="H69" s="17">
        <v>20176</v>
      </c>
      <c r="I69" s="80">
        <f>Table74[[#This Row],[TRUMP VOTES]]/C171</f>
        <v>0.13785752353881683</v>
      </c>
      <c r="J69" s="18">
        <v>0.23799999999999999</v>
      </c>
      <c r="K69" s="17">
        <v>63594</v>
      </c>
      <c r="L69" s="80">
        <f>Table74[[#This Row],[BIDEN VOTES]]/C171</f>
        <v>0.43452177596785874</v>
      </c>
      <c r="M69" s="18">
        <v>0.751</v>
      </c>
      <c r="N69" s="80">
        <f>1-(Table74[[#This Row],[NbP]]+Table74[[#This Row],[NbP2]])</f>
        <v>0.42762070049332446</v>
      </c>
    </row>
    <row r="70" spans="1:14" ht="20">
      <c r="A70" s="78" t="s">
        <v>2433</v>
      </c>
      <c r="B70" s="78" t="s">
        <v>2391</v>
      </c>
      <c r="C70" s="78" t="s">
        <v>297</v>
      </c>
      <c r="D70" s="78">
        <v>14</v>
      </c>
      <c r="E70" s="78">
        <f>Table73[[#This Row],[2020]]/C172</f>
        <v>1.1047108024934901E-3</v>
      </c>
      <c r="G70" s="16" t="s">
        <v>2494</v>
      </c>
      <c r="H70" s="17">
        <v>4849</v>
      </c>
      <c r="I70" s="80">
        <f>Table74[[#This Row],[TRUMP VOTES]]/C172</f>
        <v>0.38262447723506665</v>
      </c>
      <c r="J70" s="18">
        <v>0.63600000000000001</v>
      </c>
      <c r="K70" s="17">
        <v>2713</v>
      </c>
      <c r="L70" s="80">
        <f>Table74[[#This Row],[BIDEN VOTES]]/C172</f>
        <v>0.21407717194034562</v>
      </c>
      <c r="M70" s="18">
        <v>0.35599999999999998</v>
      </c>
      <c r="N70" s="80">
        <f>1-(Table74[[#This Row],[NbP]]+Table74[[#This Row],[NbP2]])</f>
        <v>0.40329835082458776</v>
      </c>
    </row>
    <row r="71" spans="1:14" ht="20">
      <c r="A71" s="78" t="s">
        <v>2434</v>
      </c>
      <c r="B71" s="78" t="s">
        <v>2391</v>
      </c>
      <c r="C71" s="78" t="s">
        <v>297</v>
      </c>
      <c r="D71" s="78">
        <v>48</v>
      </c>
      <c r="E71" s="78">
        <f>Table73[[#This Row],[2020]]/C173</f>
        <v>1.2067881835323695E-3</v>
      </c>
      <c r="G71" s="16" t="s">
        <v>2495</v>
      </c>
      <c r="H71" s="17">
        <v>9770</v>
      </c>
      <c r="I71" s="80">
        <f>Table74[[#This Row],[TRUMP VOTES]]/C173</f>
        <v>0.24563167818981774</v>
      </c>
      <c r="J71" s="18">
        <v>0.49199999999999999</v>
      </c>
      <c r="K71" s="17">
        <v>9832</v>
      </c>
      <c r="L71" s="80">
        <f>Table74[[#This Row],[BIDEN VOTES]]/C173</f>
        <v>0.24719044626021369</v>
      </c>
      <c r="M71" s="18">
        <v>0.495</v>
      </c>
      <c r="N71" s="80">
        <f>1-(Table74[[#This Row],[NbP]]+Table74[[#This Row],[NbP2]])</f>
        <v>0.50717787554996852</v>
      </c>
    </row>
    <row r="72" spans="1:14" ht="20">
      <c r="A72" s="78" t="s">
        <v>2435</v>
      </c>
      <c r="B72" s="78" t="s">
        <v>2391</v>
      </c>
      <c r="C72" s="78" t="s">
        <v>297</v>
      </c>
      <c r="D72" s="78">
        <v>77</v>
      </c>
      <c r="E72" s="78">
        <f>Table73[[#This Row],[2020]]/C174</f>
        <v>1.2441227318996299E-3</v>
      </c>
      <c r="G72" s="16" t="s">
        <v>2496</v>
      </c>
      <c r="H72" s="17">
        <v>21956</v>
      </c>
      <c r="I72" s="80">
        <f>Table74[[#This Row],[TRUMP VOTES]]/C174</f>
        <v>0.35475271041023737</v>
      </c>
      <c r="J72" s="18">
        <v>0.64400000000000002</v>
      </c>
      <c r="K72" s="17">
        <v>11723</v>
      </c>
      <c r="L72" s="80">
        <f>Table74[[#This Row],[BIDEN VOTES]]/C174</f>
        <v>0.1894136465721995</v>
      </c>
      <c r="M72" s="18">
        <v>0.34399999999999997</v>
      </c>
      <c r="N72" s="80">
        <f>1-(Table74[[#This Row],[NbP]]+Table74[[#This Row],[NbP2]])</f>
        <v>0.45583364301756313</v>
      </c>
    </row>
    <row r="73" spans="1:14" ht="20">
      <c r="A73" s="78" t="s">
        <v>2436</v>
      </c>
      <c r="B73" s="78" t="s">
        <v>2391</v>
      </c>
      <c r="C73" s="78" t="s">
        <v>297</v>
      </c>
      <c r="D73" s="78">
        <v>22</v>
      </c>
      <c r="E73" s="78">
        <f>Table73[[#This Row],[2020]]/C175</f>
        <v>1.6280618663509214E-3</v>
      </c>
      <c r="G73" s="16" t="s">
        <v>2497</v>
      </c>
      <c r="H73" s="17">
        <v>4903</v>
      </c>
      <c r="I73" s="80">
        <f>Table74[[#This Row],[TRUMP VOTES]]/C175</f>
        <v>0.36283578775993486</v>
      </c>
      <c r="J73" s="18">
        <v>0.65600000000000003</v>
      </c>
      <c r="K73" s="17">
        <v>2492</v>
      </c>
      <c r="L73" s="80">
        <f>Table74[[#This Row],[BIDEN VOTES]]/C175</f>
        <v>0.18441500777029526</v>
      </c>
      <c r="M73" s="18">
        <v>0.33300000000000002</v>
      </c>
      <c r="N73" s="80">
        <f>1-(Table74[[#This Row],[NbP]]+Table74[[#This Row],[NbP2]])</f>
        <v>0.45274920446976985</v>
      </c>
    </row>
    <row r="74" spans="1:14" ht="20">
      <c r="A74" s="78" t="s">
        <v>2437</v>
      </c>
      <c r="B74" s="78" t="s">
        <v>2391</v>
      </c>
      <c r="C74" s="78" t="s">
        <v>297</v>
      </c>
      <c r="D74" s="78">
        <v>103</v>
      </c>
      <c r="E74" s="78">
        <f>Table73[[#This Row],[2020]]/C176</f>
        <v>2.6035742271428935E-3</v>
      </c>
      <c r="G74" s="16" t="s">
        <v>2498</v>
      </c>
      <c r="H74" s="17">
        <v>13184</v>
      </c>
      <c r="I74" s="80">
        <f>Table74[[#This Row],[TRUMP VOTES]]/C176</f>
        <v>0.33325750107429036</v>
      </c>
      <c r="J74" s="18">
        <v>0.60299999999999998</v>
      </c>
      <c r="K74" s="17">
        <v>8465</v>
      </c>
      <c r="L74" s="80">
        <f>Table74[[#This Row],[BIDEN VOTES]]/C176</f>
        <v>0.21397335759965622</v>
      </c>
      <c r="M74" s="18">
        <v>0.38700000000000001</v>
      </c>
      <c r="N74" s="80">
        <f>1-(Table74[[#This Row],[NbP]]+Table74[[#This Row],[NbP2]])</f>
        <v>0.45276914132605339</v>
      </c>
    </row>
    <row r="75" spans="1:14" ht="20">
      <c r="A75" s="78" t="s">
        <v>2438</v>
      </c>
      <c r="B75" s="78" t="s">
        <v>2391</v>
      </c>
      <c r="C75" s="78" t="s">
        <v>297</v>
      </c>
      <c r="D75" s="78">
        <v>564</v>
      </c>
      <c r="E75" s="78">
        <f>Table73[[#This Row],[2020]]/C177</f>
        <v>3.1340123693466919E-3</v>
      </c>
      <c r="G75" s="16" t="s">
        <v>2499</v>
      </c>
      <c r="H75" s="17">
        <v>38982</v>
      </c>
      <c r="I75" s="80">
        <f>Table74[[#This Row],[TRUMP VOTES]]/C177</f>
        <v>0.21661359961324952</v>
      </c>
      <c r="J75" s="18">
        <v>0.44600000000000001</v>
      </c>
      <c r="K75" s="17">
        <v>47252</v>
      </c>
      <c r="L75" s="80">
        <f>Table74[[#This Row],[BIDEN VOTES]]/C177</f>
        <v>0.26256800084462745</v>
      </c>
      <c r="M75" s="18">
        <v>0.54100000000000004</v>
      </c>
      <c r="N75" s="80">
        <f>1-(Table74[[#This Row],[NbP]]+Table74[[#This Row],[NbP2]])</f>
        <v>0.52081839954212306</v>
      </c>
    </row>
    <row r="76" spans="1:14" ht="20">
      <c r="A76" s="78" t="s">
        <v>140</v>
      </c>
      <c r="B76" s="78" t="s">
        <v>2391</v>
      </c>
      <c r="C76" s="78" t="s">
        <v>297</v>
      </c>
      <c r="D76" s="78">
        <v>56</v>
      </c>
      <c r="E76" s="78">
        <f>Table73[[#This Row],[2020]]/C178</f>
        <v>2.7076685040131514E-3</v>
      </c>
      <c r="G76" s="16" t="s">
        <v>239</v>
      </c>
      <c r="H76" s="17">
        <v>7689</v>
      </c>
      <c r="I76" s="80">
        <f>Table74[[#This Row],[TRUMP VOTES]]/C178</f>
        <v>0.37177255584566288</v>
      </c>
      <c r="J76" s="18">
        <v>0.623</v>
      </c>
      <c r="K76" s="17">
        <v>4518</v>
      </c>
      <c r="L76" s="80">
        <f>Table74[[#This Row],[BIDEN VOTES]]/C178</f>
        <v>0.21845082680591818</v>
      </c>
      <c r="M76" s="18">
        <v>0.36599999999999999</v>
      </c>
      <c r="N76" s="80">
        <f>1-(Table74[[#This Row],[NbP]]+Table74[[#This Row],[NbP2]])</f>
        <v>0.40977661734841897</v>
      </c>
    </row>
    <row r="77" spans="1:14" ht="20">
      <c r="A77" s="78" t="s">
        <v>880</v>
      </c>
      <c r="B77" s="78" t="s">
        <v>2391</v>
      </c>
      <c r="C77" s="78" t="s">
        <v>297</v>
      </c>
      <c r="D77" s="78">
        <v>333</v>
      </c>
      <c r="E77" s="78">
        <f>Table73[[#This Row],[2020]]/C179</f>
        <v>2.3212045169385197E-3</v>
      </c>
      <c r="G77" s="16" t="s">
        <v>849</v>
      </c>
      <c r="H77" s="17">
        <v>56894</v>
      </c>
      <c r="I77" s="80">
        <f>Table74[[#This Row],[TRUMP VOTES]]/C179</f>
        <v>0.39658441377387427</v>
      </c>
      <c r="J77" s="18">
        <v>0.77700000000000002</v>
      </c>
      <c r="K77" s="17">
        <v>15618</v>
      </c>
      <c r="L77" s="80">
        <f>Table74[[#This Row],[BIDEN VOTES]]/C179</f>
        <v>0.10886658301965704</v>
      </c>
      <c r="M77" s="18">
        <v>0.21299999999999999</v>
      </c>
      <c r="N77" s="80">
        <f>1-(Table74[[#This Row],[NbP]]+Table74[[#This Row],[NbP2]])</f>
        <v>0.49454900320646866</v>
      </c>
    </row>
    <row r="78" spans="1:14" ht="20">
      <c r="A78" s="78" t="s">
        <v>1280</v>
      </c>
      <c r="B78" s="78" t="s">
        <v>2391</v>
      </c>
      <c r="C78" s="78" t="s">
        <v>297</v>
      </c>
      <c r="D78" s="78">
        <v>159</v>
      </c>
      <c r="E78" s="78">
        <f>Table73[[#This Row],[2020]]/C180</f>
        <v>3.5523581849460444E-3</v>
      </c>
      <c r="G78" s="16" t="s">
        <v>1373</v>
      </c>
      <c r="H78" s="17">
        <v>11830</v>
      </c>
      <c r="I78" s="80">
        <f>Table74[[#This Row],[TRUMP VOTES]]/C180</f>
        <v>0.26430438571013654</v>
      </c>
      <c r="J78" s="18">
        <v>0.56999999999999995</v>
      </c>
      <c r="K78" s="17">
        <v>8754</v>
      </c>
      <c r="L78" s="80">
        <f>Table74[[#This Row],[BIDEN VOTES]]/C180</f>
        <v>0.19558077705042562</v>
      </c>
      <c r="M78" s="18">
        <v>0.42199999999999999</v>
      </c>
      <c r="N78" s="80">
        <f>1-(Table74[[#This Row],[NbP]]+Table74[[#This Row],[NbP2]])</f>
        <v>0.54011483723943787</v>
      </c>
    </row>
    <row r="79" spans="1:14" ht="20">
      <c r="A79" s="78" t="s">
        <v>2439</v>
      </c>
      <c r="B79" s="78" t="s">
        <v>2391</v>
      </c>
      <c r="C79" s="78" t="s">
        <v>297</v>
      </c>
      <c r="D79" s="94">
        <v>1039</v>
      </c>
      <c r="E79" s="78">
        <f>Table73[[#This Row],[2020]]/C181</f>
        <v>7.8917785744667922E-3</v>
      </c>
      <c r="G79" s="16" t="s">
        <v>2500</v>
      </c>
      <c r="H79" s="17">
        <v>27806</v>
      </c>
      <c r="I79" s="80">
        <f>Table74[[#This Row],[TRUMP VOTES]]/C181</f>
        <v>0.21120192015555692</v>
      </c>
      <c r="J79" s="18">
        <v>0.59</v>
      </c>
      <c r="K79" s="17">
        <v>19020</v>
      </c>
      <c r="L79" s="80">
        <f>Table74[[#This Row],[BIDEN VOTES]]/C181</f>
        <v>0.14446739989062404</v>
      </c>
      <c r="M79" s="18">
        <v>0.40400000000000003</v>
      </c>
      <c r="N79" s="80">
        <f>1-(Table74[[#This Row],[NbP]]+Table74[[#This Row],[NbP2]])</f>
        <v>0.6443306799538191</v>
      </c>
    </row>
    <row r="80" spans="1:14" ht="20">
      <c r="A80" s="78" t="s">
        <v>2302</v>
      </c>
      <c r="B80" s="78" t="s">
        <v>2391</v>
      </c>
      <c r="C80" s="78" t="s">
        <v>297</v>
      </c>
      <c r="D80" s="78">
        <v>308</v>
      </c>
      <c r="E80" s="78">
        <f>Table73[[#This Row],[2020]]/C182</f>
        <v>3.3827195747438248E-3</v>
      </c>
      <c r="G80" s="16" t="s">
        <v>2309</v>
      </c>
      <c r="H80" s="17">
        <v>31301</v>
      </c>
      <c r="I80" s="80">
        <f>Table74[[#This Row],[TRUMP VOTES]]/C182</f>
        <v>0.34377436821122226</v>
      </c>
      <c r="J80" s="18">
        <v>0.65600000000000003</v>
      </c>
      <c r="K80" s="17">
        <v>15992</v>
      </c>
      <c r="L80" s="80">
        <f>Table74[[#This Row],[BIDEN VOTES]]/C182</f>
        <v>0.17563782934838718</v>
      </c>
      <c r="M80" s="18">
        <v>0.33500000000000002</v>
      </c>
      <c r="N80" s="80">
        <f>1-(Table74[[#This Row],[NbP]]+Table74[[#This Row],[NbP2]])</f>
        <v>0.48058780244039057</v>
      </c>
    </row>
    <row r="81" spans="1:14" ht="20">
      <c r="A81" s="78" t="s">
        <v>1617</v>
      </c>
      <c r="B81" s="78" t="s">
        <v>2391</v>
      </c>
      <c r="C81" s="78" t="s">
        <v>297</v>
      </c>
      <c r="D81" s="78">
        <v>382</v>
      </c>
      <c r="E81" s="78">
        <f>Table73[[#This Row],[2020]]/C183</f>
        <v>2.7096426392770505E-3</v>
      </c>
      <c r="G81" s="16" t="s">
        <v>1664</v>
      </c>
      <c r="H81" s="17">
        <v>49297</v>
      </c>
      <c r="I81" s="80">
        <f>Table74[[#This Row],[TRUMP VOTES]]/C183</f>
        <v>0.34967867326816948</v>
      </c>
      <c r="J81" s="18">
        <v>0.67300000000000004</v>
      </c>
      <c r="K81" s="17">
        <v>23114</v>
      </c>
      <c r="L81" s="80">
        <f>Table74[[#This Row],[BIDEN VOTES]]/C183</f>
        <v>0.16395465959227681</v>
      </c>
      <c r="M81" s="18">
        <v>0.316</v>
      </c>
      <c r="N81" s="80">
        <f>1-(Table74[[#This Row],[NbP]]+Table74[[#This Row],[NbP2]])</f>
        <v>0.48636666713955368</v>
      </c>
    </row>
    <row r="82" spans="1:14" ht="20">
      <c r="A82" s="78" t="s">
        <v>145</v>
      </c>
      <c r="B82" s="78" t="s">
        <v>2391</v>
      </c>
      <c r="C82" s="78" t="s">
        <v>297</v>
      </c>
      <c r="D82" s="78">
        <v>162</v>
      </c>
      <c r="E82" s="78">
        <f>Table73[[#This Row],[2020]]/C184</f>
        <v>2.4272935676720457E-3</v>
      </c>
      <c r="G82" s="16" t="s">
        <v>244</v>
      </c>
      <c r="H82" s="17">
        <v>24891</v>
      </c>
      <c r="I82" s="80">
        <f>Table74[[#This Row],[TRUMP VOTES]]/C184</f>
        <v>0.37294916168472153</v>
      </c>
      <c r="J82" s="18">
        <v>0.72399999999999998</v>
      </c>
      <c r="K82" s="17">
        <v>9135</v>
      </c>
      <c r="L82" s="80">
        <f>Table74[[#This Row],[BIDEN VOTES]]/C184</f>
        <v>0.13687238728817369</v>
      </c>
      <c r="M82" s="18">
        <v>0.26600000000000001</v>
      </c>
      <c r="N82" s="80">
        <f>1-(Table74[[#This Row],[NbP]]+Table74[[#This Row],[NbP2]])</f>
        <v>0.49017845102710478</v>
      </c>
    </row>
    <row r="83" spans="1:14" ht="20">
      <c r="A83" s="78" t="s">
        <v>2440</v>
      </c>
      <c r="B83" s="78" t="s">
        <v>2391</v>
      </c>
      <c r="C83" s="78" t="s">
        <v>297</v>
      </c>
      <c r="D83" s="78">
        <v>149</v>
      </c>
      <c r="E83" s="78">
        <f>Table73[[#This Row],[2020]]/C185</f>
        <v>2.3544655837178432E-3</v>
      </c>
      <c r="G83" s="16" t="s">
        <v>2501</v>
      </c>
      <c r="H83" s="17">
        <v>17411</v>
      </c>
      <c r="I83" s="80">
        <f>Table74[[#This Row],[TRUMP VOTES]]/C185</f>
        <v>0.27512483408128435</v>
      </c>
      <c r="J83" s="18">
        <v>0.60899999999999999</v>
      </c>
      <c r="K83" s="17">
        <v>10966</v>
      </c>
      <c r="L83" s="80">
        <f>Table74[[#This Row],[BIDEN VOTES]]/C185</f>
        <v>0.17328234624865685</v>
      </c>
      <c r="M83" s="18">
        <v>0.38400000000000001</v>
      </c>
      <c r="N83" s="80">
        <f>1-(Table74[[#This Row],[NbP]]+Table74[[#This Row],[NbP2]])</f>
        <v>0.5515928196700588</v>
      </c>
    </row>
    <row r="84" spans="1:14" ht="20">
      <c r="A84" s="78" t="s">
        <v>2119</v>
      </c>
      <c r="B84" s="78" t="s">
        <v>2391</v>
      </c>
      <c r="C84" s="78" t="s">
        <v>297</v>
      </c>
      <c r="D84" s="78">
        <v>193</v>
      </c>
      <c r="E84" s="78">
        <f>Table73[[#This Row],[2020]]/C186</f>
        <v>5.5267604020503422E-3</v>
      </c>
      <c r="G84" s="16" t="s">
        <v>2165</v>
      </c>
      <c r="H84" s="17">
        <v>7473</v>
      </c>
      <c r="I84" s="80">
        <f>Table74[[#This Row],[TRUMP VOTES]]/C186</f>
        <v>0.21399730820995963</v>
      </c>
      <c r="J84" s="18">
        <v>0.50600000000000001</v>
      </c>
      <c r="K84" s="17">
        <v>7186</v>
      </c>
      <c r="L84" s="80">
        <f>Table74[[#This Row],[BIDEN VOTES]]/C186</f>
        <v>0.20577875776753243</v>
      </c>
      <c r="M84" s="18">
        <v>0.48699999999999999</v>
      </c>
      <c r="N84" s="80">
        <f>1-(Table74[[#This Row],[NbP]]+Table74[[#This Row],[NbP2]])</f>
        <v>0.58022393402250794</v>
      </c>
    </row>
    <row r="85" spans="1:14" ht="20">
      <c r="A85" s="78" t="s">
        <v>2441</v>
      </c>
      <c r="B85" s="78" t="s">
        <v>2391</v>
      </c>
      <c r="C85" s="78" t="s">
        <v>297</v>
      </c>
      <c r="D85" s="78">
        <v>203</v>
      </c>
      <c r="E85" s="78">
        <f>Table73[[#This Row],[2020]]/C187</f>
        <v>3.2715551974214344E-3</v>
      </c>
      <c r="G85" s="16" t="s">
        <v>2502</v>
      </c>
      <c r="H85" s="17">
        <v>25458</v>
      </c>
      <c r="I85" s="80">
        <f>Table74[[#This Row],[TRUMP VOTES]]/C187</f>
        <v>0.41028203062046736</v>
      </c>
      <c r="J85" s="18">
        <v>0.751</v>
      </c>
      <c r="K85" s="17">
        <v>8129</v>
      </c>
      <c r="L85" s="80">
        <f>Table74[[#This Row],[BIDEN VOTES]]/C187</f>
        <v>0.13100725221595488</v>
      </c>
      <c r="M85" s="18">
        <v>0.24</v>
      </c>
      <c r="N85" s="80">
        <f>1-(Table74[[#This Row],[NbP]]+Table74[[#This Row],[NbP2]])</f>
        <v>0.45871071716357781</v>
      </c>
    </row>
    <row r="86" spans="1:14" ht="20">
      <c r="A86" s="78" t="s">
        <v>2442</v>
      </c>
      <c r="B86" s="78" t="s">
        <v>2391</v>
      </c>
      <c r="C86" s="78" t="s">
        <v>297</v>
      </c>
      <c r="D86" s="78">
        <v>126</v>
      </c>
      <c r="E86" s="78">
        <f>Table73[[#This Row],[2020]]/C188</f>
        <v>2.7578357555594468E-3</v>
      </c>
      <c r="G86" s="16" t="s">
        <v>2503</v>
      </c>
      <c r="H86" s="17">
        <v>20142</v>
      </c>
      <c r="I86" s="80">
        <f>Table74[[#This Row],[TRUMP VOTES]]/C188</f>
        <v>0.44085974435300296</v>
      </c>
      <c r="J86" s="18">
        <v>0.78500000000000003</v>
      </c>
      <c r="K86" s="17">
        <v>5286</v>
      </c>
      <c r="L86" s="80">
        <f>Table74[[#This Row],[BIDEN VOTES]]/C188</f>
        <v>0.11569777622132726</v>
      </c>
      <c r="M86" s="18">
        <v>0.20599999999999999</v>
      </c>
      <c r="N86" s="80">
        <f>1-(Table74[[#This Row],[NbP]]+Table74[[#This Row],[NbP2]])</f>
        <v>0.44344247942566972</v>
      </c>
    </row>
    <row r="87" spans="1:14" ht="20">
      <c r="A87" s="78" t="s">
        <v>2443</v>
      </c>
      <c r="B87" s="78" t="s">
        <v>2391</v>
      </c>
      <c r="C87" s="78" t="s">
        <v>297</v>
      </c>
      <c r="D87" s="78">
        <v>243</v>
      </c>
      <c r="E87" s="78">
        <f>Table73[[#This Row],[2020]]/C189</f>
        <v>3.3795060080106811E-3</v>
      </c>
      <c r="G87" s="16" t="s">
        <v>2504</v>
      </c>
      <c r="H87" s="17">
        <v>27538</v>
      </c>
      <c r="I87" s="80">
        <f>Table74[[#This Row],[TRUMP VOTES]]/C189</f>
        <v>0.3829828660436137</v>
      </c>
      <c r="J87" s="18">
        <v>0.753</v>
      </c>
      <c r="K87" s="17">
        <v>8721</v>
      </c>
      <c r="L87" s="80">
        <f>Table74[[#This Row],[BIDEN VOTES]]/C189</f>
        <v>0.12128671562082777</v>
      </c>
      <c r="M87" s="18">
        <v>0.23799999999999999</v>
      </c>
      <c r="N87" s="80">
        <f>1-(Table74[[#This Row],[NbP]]+Table74[[#This Row],[NbP2]])</f>
        <v>0.49573041833555853</v>
      </c>
    </row>
    <row r="88" spans="1:14" ht="20">
      <c r="A88" s="78" t="s">
        <v>2444</v>
      </c>
      <c r="B88" s="78" t="s">
        <v>2391</v>
      </c>
      <c r="C88" s="78" t="s">
        <v>297</v>
      </c>
      <c r="D88" s="78">
        <v>33</v>
      </c>
      <c r="E88" s="78">
        <f>Table73[[#This Row],[2020]]/C190</f>
        <v>2.3172530018959344E-3</v>
      </c>
      <c r="G88" s="16" t="s">
        <v>2505</v>
      </c>
      <c r="H88" s="17">
        <v>4161</v>
      </c>
      <c r="I88" s="80">
        <f>Table74[[#This Row],[TRUMP VOTES]]/C190</f>
        <v>0.29218453760269641</v>
      </c>
      <c r="J88" s="18">
        <v>0.59</v>
      </c>
      <c r="K88" s="17">
        <v>2780</v>
      </c>
      <c r="L88" s="80">
        <f>Table74[[#This Row],[BIDEN VOTES]]/C190</f>
        <v>0.19521101046274841</v>
      </c>
      <c r="M88" s="18">
        <v>0.39400000000000002</v>
      </c>
      <c r="N88" s="80">
        <f>1-(Table74[[#This Row],[NbP]]+Table74[[#This Row],[NbP2]])</f>
        <v>0.51260445193455517</v>
      </c>
    </row>
    <row r="89" spans="1:14" ht="20">
      <c r="A89" s="78" t="s">
        <v>2445</v>
      </c>
      <c r="B89" s="78" t="s">
        <v>2391</v>
      </c>
      <c r="C89" s="78" t="s">
        <v>297</v>
      </c>
      <c r="D89" s="78">
        <v>75</v>
      </c>
      <c r="E89" s="78">
        <f>Table73[[#This Row],[2020]]/C191</f>
        <v>2.2033549751755339E-3</v>
      </c>
      <c r="G89" s="16" t="s">
        <v>2506</v>
      </c>
      <c r="H89" s="17">
        <v>11636</v>
      </c>
      <c r="I89" s="80">
        <f>Table74[[#This Row],[TRUMP VOTES]]/C191</f>
        <v>0.34184317988190016</v>
      </c>
      <c r="J89" s="18">
        <v>0.57199999999999995</v>
      </c>
      <c r="K89" s="17">
        <v>8444</v>
      </c>
      <c r="L89" s="80">
        <f>Table74[[#This Row],[BIDEN VOTES]]/C191</f>
        <v>0.24806839213842946</v>
      </c>
      <c r="M89" s="18">
        <v>0.41499999999999998</v>
      </c>
      <c r="N89" s="80">
        <f>1-(Table74[[#This Row],[NbP]]+Table74[[#This Row],[NbP2]])</f>
        <v>0.41008842797967038</v>
      </c>
    </row>
    <row r="90" spans="1:14" ht="20">
      <c r="A90" s="78" t="s">
        <v>2446</v>
      </c>
      <c r="B90" s="78" t="s">
        <v>2391</v>
      </c>
      <c r="C90" s="78" t="s">
        <v>297</v>
      </c>
      <c r="D90" s="78">
        <v>7</v>
      </c>
      <c r="E90" s="78">
        <f>Table73[[#This Row],[2020]]/C192</f>
        <v>1.7596782302664656E-3</v>
      </c>
      <c r="G90" s="16" t="s">
        <v>2507</v>
      </c>
      <c r="H90" s="17">
        <v>1044</v>
      </c>
      <c r="I90" s="80">
        <f>Table74[[#This Row],[TRUMP VOTES]]/C192</f>
        <v>0.26244343891402716</v>
      </c>
      <c r="J90" s="18">
        <v>0.57599999999999996</v>
      </c>
      <c r="K90" s="19">
        <v>758</v>
      </c>
      <c r="L90" s="80">
        <f>Table74[[#This Row],[BIDEN VOTES]]/C192</f>
        <v>0.19054801407742583</v>
      </c>
      <c r="M90" s="18">
        <v>0.41799999999999998</v>
      </c>
      <c r="N90" s="80">
        <f>1-(Table74[[#This Row],[NbP]]+Table74[[#This Row],[NbP2]])</f>
        <v>0.54700854700854706</v>
      </c>
    </row>
    <row r="91" spans="1:14" ht="20">
      <c r="A91" s="78" t="s">
        <v>157</v>
      </c>
      <c r="B91" s="78" t="s">
        <v>2391</v>
      </c>
      <c r="C91" s="78" t="s">
        <v>297</v>
      </c>
      <c r="D91" s="78">
        <v>290</v>
      </c>
      <c r="E91" s="78">
        <f>Table73[[#This Row],[2020]]/C193</f>
        <v>1.230027951324825E-3</v>
      </c>
      <c r="G91" s="16" t="s">
        <v>255</v>
      </c>
      <c r="H91" s="17">
        <v>80382</v>
      </c>
      <c r="I91" s="80">
        <f>Table74[[#This Row],[TRUMP VOTES]]/C193</f>
        <v>0.34093829925307612</v>
      </c>
      <c r="J91" s="18">
        <v>0.61499999999999999</v>
      </c>
      <c r="K91" s="17">
        <v>48725</v>
      </c>
      <c r="L91" s="80">
        <f>Table74[[#This Row],[BIDEN VOTES]]/C193</f>
        <v>0.2066659032010417</v>
      </c>
      <c r="M91" s="18">
        <v>0.373</v>
      </c>
      <c r="N91" s="80">
        <f>1-(Table74[[#This Row],[NbP]]+Table74[[#This Row],[NbP2]])</f>
        <v>0.45239579754588222</v>
      </c>
    </row>
    <row r="92" spans="1:14" ht="20">
      <c r="A92" s="78" t="s">
        <v>2447</v>
      </c>
      <c r="B92" s="78" t="s">
        <v>2391</v>
      </c>
      <c r="C92" s="78" t="s">
        <v>297</v>
      </c>
      <c r="D92" s="78">
        <v>89</v>
      </c>
      <c r="E92" s="78">
        <f>Table73[[#This Row],[2020]]/C194</f>
        <v>1.9948894965705834E-3</v>
      </c>
      <c r="G92" s="16" t="s">
        <v>2508</v>
      </c>
      <c r="H92" s="17">
        <v>8391</v>
      </c>
      <c r="I92" s="80">
        <f>Table74[[#This Row],[TRUMP VOTES]]/C194</f>
        <v>0.18807997489577263</v>
      </c>
      <c r="J92" s="18">
        <v>0.4</v>
      </c>
      <c r="K92" s="17">
        <v>12431</v>
      </c>
      <c r="L92" s="80">
        <f>Table74[[#This Row],[BIDEN VOTES]]/C194</f>
        <v>0.27863450934684181</v>
      </c>
      <c r="M92" s="18">
        <v>0.59299999999999997</v>
      </c>
      <c r="N92" s="80">
        <f>1-(Table74[[#This Row],[NbP]]+Table74[[#This Row],[NbP2]])</f>
        <v>0.53328551575738559</v>
      </c>
    </row>
    <row r="93" spans="1:14" ht="20">
      <c r="A93" s="78" t="s">
        <v>2448</v>
      </c>
      <c r="B93" s="78" t="s">
        <v>2391</v>
      </c>
      <c r="C93" s="78" t="s">
        <v>297</v>
      </c>
      <c r="D93" s="78">
        <v>789</v>
      </c>
      <c r="E93" s="78">
        <f>Table73[[#This Row],[2020]]/C195</f>
        <v>7.2275118122642362E-4</v>
      </c>
      <c r="G93" s="16" t="s">
        <v>2509</v>
      </c>
      <c r="H93" s="17">
        <v>226197</v>
      </c>
      <c r="I93" s="80">
        <f>Table74[[#This Row],[TRUMP VOTES]]/C195</f>
        <v>0.20720424453722855</v>
      </c>
      <c r="J93" s="18">
        <v>0.35899999999999999</v>
      </c>
      <c r="K93" s="17">
        <v>393336</v>
      </c>
      <c r="L93" s="80">
        <f>Table74[[#This Row],[BIDEN VOTES]]/C195</f>
        <v>0.36030932651315151</v>
      </c>
      <c r="M93" s="18">
        <v>0.625</v>
      </c>
      <c r="N93" s="80">
        <f>1-(Table74[[#This Row],[NbP]]+Table74[[#This Row],[NbP2]])</f>
        <v>0.43248642894961997</v>
      </c>
    </row>
    <row r="94" spans="1:14" ht="20">
      <c r="A94" s="78" t="s">
        <v>159</v>
      </c>
      <c r="B94" s="78" t="s">
        <v>2391</v>
      </c>
      <c r="C94" s="78" t="s">
        <v>297</v>
      </c>
      <c r="D94" s="78">
        <v>9</v>
      </c>
      <c r="E94" s="78">
        <f>Table73[[#This Row],[2020]]/C196</f>
        <v>4.5578851412944393E-4</v>
      </c>
      <c r="G94" s="16" t="s">
        <v>257</v>
      </c>
      <c r="H94" s="17">
        <v>3752</v>
      </c>
      <c r="I94" s="80">
        <f>Table74[[#This Row],[TRUMP VOTES]]/C196</f>
        <v>0.19001316722374151</v>
      </c>
      <c r="J94" s="18">
        <v>0.36499999999999999</v>
      </c>
      <c r="K94" s="17">
        <v>6400</v>
      </c>
      <c r="L94" s="80">
        <f>Table74[[#This Row],[BIDEN VOTES]]/C196</f>
        <v>0.32411627671427123</v>
      </c>
      <c r="M94" s="18">
        <v>0.623</v>
      </c>
      <c r="N94" s="80">
        <f>1-(Table74[[#This Row],[NbP]]+Table74[[#This Row],[NbP2]])</f>
        <v>0.48587055606198726</v>
      </c>
    </row>
    <row r="95" spans="1:14" ht="20">
      <c r="A95" s="78" t="s">
        <v>38</v>
      </c>
      <c r="B95" s="78" t="s">
        <v>2391</v>
      </c>
      <c r="C95" s="78" t="s">
        <v>297</v>
      </c>
      <c r="D95" s="78">
        <v>20</v>
      </c>
      <c r="E95" s="78">
        <f>Table73[[#This Row],[2020]]/C197</f>
        <v>1.6966406515100101E-3</v>
      </c>
      <c r="G95" s="16" t="s">
        <v>258</v>
      </c>
      <c r="H95" s="17">
        <v>2781</v>
      </c>
      <c r="I95" s="80">
        <f>Table74[[#This Row],[TRUMP VOTES]]/C197</f>
        <v>0.2359178825924669</v>
      </c>
      <c r="J95" s="18">
        <v>0.44800000000000001</v>
      </c>
      <c r="K95" s="17">
        <v>3396</v>
      </c>
      <c r="L95" s="80">
        <f>Table74[[#This Row],[BIDEN VOTES]]/C197</f>
        <v>0.28808958262639972</v>
      </c>
      <c r="M95" s="18">
        <v>0.54700000000000004</v>
      </c>
      <c r="N95" s="80">
        <f>1-(Table74[[#This Row],[NbP]]+Table74[[#This Row],[NbP2]])</f>
        <v>0.47599253478113335</v>
      </c>
    </row>
    <row r="96" spans="1:14" ht="20">
      <c r="A96" s="78" t="s">
        <v>2449</v>
      </c>
      <c r="B96" s="78" t="s">
        <v>2391</v>
      </c>
      <c r="C96" s="78" t="s">
        <v>297</v>
      </c>
      <c r="D96" s="78">
        <v>52</v>
      </c>
      <c r="E96" s="78">
        <f>Table73[[#This Row],[2020]]/C198</f>
        <v>9.3409258294562501E-4</v>
      </c>
      <c r="G96" s="16" t="s">
        <v>2510</v>
      </c>
      <c r="H96" s="17">
        <v>14451</v>
      </c>
      <c r="I96" s="80">
        <f>Table74[[#This Row],[TRUMP VOTES]]/C198</f>
        <v>0.25958792146436976</v>
      </c>
      <c r="J96" s="18">
        <v>0.45</v>
      </c>
      <c r="K96" s="17">
        <v>17122</v>
      </c>
      <c r="L96" s="80">
        <f>Table74[[#This Row],[BIDEN VOTES]]/C198</f>
        <v>0.30756794625374984</v>
      </c>
      <c r="M96" s="18">
        <v>0.53300000000000003</v>
      </c>
      <c r="N96" s="80">
        <f>1-(Table74[[#This Row],[NbP]]+Table74[[#This Row],[NbP2]])</f>
        <v>0.43284413228188034</v>
      </c>
    </row>
    <row r="97" spans="1:14" ht="20">
      <c r="A97" s="78" t="s">
        <v>160</v>
      </c>
      <c r="B97" s="78" t="s">
        <v>2391</v>
      </c>
      <c r="C97" s="78" t="s">
        <v>297</v>
      </c>
      <c r="D97" s="78">
        <v>116</v>
      </c>
      <c r="E97" s="78">
        <f>Table73[[#This Row],[2020]]/C199</f>
        <v>9.3710869653027429E-4</v>
      </c>
      <c r="G97" s="16" t="s">
        <v>259</v>
      </c>
      <c r="H97" s="17">
        <v>30709</v>
      </c>
      <c r="I97" s="80">
        <f>Table74[[#This Row],[TRUMP VOTES]]/C199</f>
        <v>0.24808337035989822</v>
      </c>
      <c r="J97" s="18">
        <v>0.55400000000000005</v>
      </c>
      <c r="K97" s="17">
        <v>24215</v>
      </c>
      <c r="L97" s="80">
        <f>Table74[[#This Row],[BIDEN VOTES]]/C199</f>
        <v>0.19562144040069476</v>
      </c>
      <c r="M97" s="18">
        <v>0.437</v>
      </c>
      <c r="N97" s="80">
        <f>1-(Table74[[#This Row],[NbP]]+Table74[[#This Row],[NbP2]])</f>
        <v>0.55629518923940702</v>
      </c>
    </row>
    <row r="98" spans="1:14" ht="20">
      <c r="A98" s="78" t="s">
        <v>1302</v>
      </c>
      <c r="B98" s="78" t="s">
        <v>2391</v>
      </c>
      <c r="C98" s="78" t="s">
        <v>297</v>
      </c>
      <c r="D98" s="78">
        <v>251</v>
      </c>
      <c r="E98" s="78">
        <f>Table73[[#This Row],[2020]]/C200</f>
        <v>3.6727586661008766E-3</v>
      </c>
      <c r="G98" s="16" t="s">
        <v>1395</v>
      </c>
      <c r="H98" s="17">
        <v>27592</v>
      </c>
      <c r="I98" s="80">
        <f>Table74[[#This Row],[TRUMP VOTES]]/C200</f>
        <v>0.40374006818747166</v>
      </c>
      <c r="J98" s="18">
        <v>0.77900000000000003</v>
      </c>
      <c r="K98" s="17">
        <v>7511</v>
      </c>
      <c r="L98" s="80">
        <f>Table74[[#This Row],[BIDEN VOTES]]/C200</f>
        <v>0.10990474239475571</v>
      </c>
      <c r="M98" s="18">
        <v>0.21199999999999999</v>
      </c>
      <c r="N98" s="80">
        <f>1-(Table74[[#This Row],[NbP]]+Table74[[#This Row],[NbP2]])</f>
        <v>0.48635518941777267</v>
      </c>
    </row>
    <row r="99" spans="1:14" ht="20">
      <c r="A99" s="78" t="s">
        <v>164</v>
      </c>
      <c r="B99" s="78" t="s">
        <v>2391</v>
      </c>
      <c r="C99" s="78" t="s">
        <v>297</v>
      </c>
      <c r="D99" s="78">
        <v>89</v>
      </c>
      <c r="E99" s="78">
        <f>Table73[[#This Row],[2020]]/C201</f>
        <v>1.0909670380857819E-3</v>
      </c>
      <c r="G99" s="16" t="s">
        <v>263</v>
      </c>
      <c r="H99" s="17">
        <v>19581</v>
      </c>
      <c r="I99" s="80">
        <f>Table74[[#This Row],[TRUMP VOTES]]/C201</f>
        <v>0.24002500643547972</v>
      </c>
      <c r="J99" s="18">
        <v>0.48099999999999998</v>
      </c>
      <c r="K99" s="17">
        <v>20754</v>
      </c>
      <c r="L99" s="80">
        <f>Table74[[#This Row],[BIDEN VOTES]]/C201</f>
        <v>0.25440370683631819</v>
      </c>
      <c r="M99" s="18">
        <v>0.51</v>
      </c>
      <c r="N99" s="80">
        <f>1-(Table74[[#This Row],[NbP]]+Table74[[#This Row],[NbP2]])</f>
        <v>0.50557128672820206</v>
      </c>
    </row>
    <row r="100" spans="1:14" ht="20">
      <c r="A100" s="78" t="s">
        <v>2450</v>
      </c>
      <c r="B100" s="78" t="s">
        <v>2391</v>
      </c>
      <c r="C100" s="78" t="s">
        <v>297</v>
      </c>
      <c r="D100" s="78">
        <v>47</v>
      </c>
      <c r="E100" s="78">
        <f>Table73[[#This Row],[2020]]/C202</f>
        <v>1.2503657985048818E-3</v>
      </c>
      <c r="G100" s="16" t="s">
        <v>2511</v>
      </c>
      <c r="H100" s="17">
        <v>15933</v>
      </c>
      <c r="I100" s="80">
        <f>Table74[[#This Row],[TRUMP VOTES]]/C202</f>
        <v>0.42387400569315492</v>
      </c>
      <c r="J100" s="18">
        <v>0.80100000000000005</v>
      </c>
      <c r="K100" s="17">
        <v>3763</v>
      </c>
      <c r="L100" s="80">
        <f>Table74[[#This Row],[BIDEN VOTES]]/C202</f>
        <v>0.10010907446327383</v>
      </c>
      <c r="M100" s="18">
        <v>0.189</v>
      </c>
      <c r="N100" s="80">
        <f>1-(Table74[[#This Row],[NbP]]+Table74[[#This Row],[NbP2]])</f>
        <v>0.47601691984357131</v>
      </c>
    </row>
    <row r="101" spans="1:14" ht="20">
      <c r="A101" s="78" t="s">
        <v>2451</v>
      </c>
      <c r="B101" s="78" t="s">
        <v>2391</v>
      </c>
      <c r="C101" s="78" t="s">
        <v>297</v>
      </c>
      <c r="D101" s="78">
        <v>58</v>
      </c>
      <c r="E101" s="78">
        <f>Table73[[#This Row],[2020]]/C203</f>
        <v>3.2456631225517628E-3</v>
      </c>
      <c r="G101" s="16" t="s">
        <v>2512</v>
      </c>
      <c r="H101" s="17">
        <v>7516</v>
      </c>
      <c r="I101" s="80">
        <f>Table74[[#This Row],[TRUMP VOTES]]/C203</f>
        <v>0.42059317291550086</v>
      </c>
      <c r="J101" s="18">
        <v>0.66300000000000003</v>
      </c>
      <c r="K101" s="17">
        <v>3688</v>
      </c>
      <c r="L101" s="80">
        <f>Table74[[#This Row],[BIDEN VOTES]]/C203</f>
        <v>0.2063794068270845</v>
      </c>
      <c r="M101" s="18">
        <v>0.32500000000000001</v>
      </c>
      <c r="N101" s="80">
        <f>1-(Table74[[#This Row],[NbP]]+Table74[[#This Row],[NbP2]])</f>
        <v>0.37302742025741464</v>
      </c>
    </row>
    <row r="103" spans="1:14" ht="21">
      <c r="A103" s="77" t="s">
        <v>1670</v>
      </c>
      <c r="B103" s="77" t="s">
        <v>69</v>
      </c>
      <c r="C103" s="77" t="s">
        <v>54</v>
      </c>
    </row>
    <row r="104" spans="1:14" ht="21">
      <c r="A104" s="52">
        <v>17</v>
      </c>
      <c r="B104" s="53" t="s">
        <v>2452</v>
      </c>
      <c r="C104" s="54">
        <v>166144</v>
      </c>
    </row>
    <row r="105" spans="1:14" ht="21">
      <c r="A105" s="52">
        <v>65</v>
      </c>
      <c r="B105" s="53" t="s">
        <v>2453</v>
      </c>
      <c r="C105" s="54">
        <v>37271</v>
      </c>
    </row>
    <row r="106" spans="1:14" ht="21">
      <c r="A106" s="52">
        <v>95</v>
      </c>
      <c r="B106" s="53" t="s">
        <v>2454</v>
      </c>
      <c r="C106" s="54">
        <v>11085</v>
      </c>
    </row>
    <row r="107" spans="1:14" ht="21">
      <c r="A107" s="52">
        <v>75</v>
      </c>
      <c r="B107" s="53" t="s">
        <v>2455</v>
      </c>
      <c r="C107" s="54">
        <v>24430</v>
      </c>
    </row>
    <row r="108" spans="1:14" ht="21">
      <c r="A108" s="52">
        <v>74</v>
      </c>
      <c r="B108" s="53" t="s">
        <v>2456</v>
      </c>
      <c r="C108" s="54">
        <v>27009</v>
      </c>
    </row>
    <row r="109" spans="1:14" ht="21">
      <c r="A109" s="52">
        <v>86</v>
      </c>
      <c r="B109" s="53" t="s">
        <v>2457</v>
      </c>
      <c r="C109" s="54">
        <v>17510</v>
      </c>
    </row>
    <row r="110" spans="1:14" ht="21">
      <c r="A110" s="52">
        <v>55</v>
      </c>
      <c r="B110" s="53" t="s">
        <v>2458</v>
      </c>
      <c r="C110" s="54">
        <v>47160</v>
      </c>
    </row>
    <row r="111" spans="1:14" ht="21">
      <c r="A111" s="52">
        <v>84</v>
      </c>
      <c r="B111" s="53" t="s">
        <v>2459</v>
      </c>
      <c r="C111" s="54">
        <v>19081</v>
      </c>
    </row>
    <row r="112" spans="1:14" ht="21">
      <c r="A112" s="52">
        <v>70</v>
      </c>
      <c r="B112" s="53" t="s">
        <v>2460</v>
      </c>
      <c r="C112" s="54">
        <v>33209</v>
      </c>
    </row>
    <row r="113" spans="1:3" ht="21">
      <c r="A113" s="52">
        <v>22</v>
      </c>
      <c r="B113" s="53" t="s">
        <v>2461</v>
      </c>
      <c r="C113" s="54">
        <v>137303</v>
      </c>
    </row>
    <row r="114" spans="1:3" ht="21">
      <c r="A114" s="52">
        <v>7</v>
      </c>
      <c r="B114" s="53" t="s">
        <v>2462</v>
      </c>
      <c r="C114" s="54">
        <v>259576</v>
      </c>
    </row>
    <row r="115" spans="1:3" ht="21">
      <c r="A115" s="52">
        <v>32</v>
      </c>
      <c r="B115" s="53" t="s">
        <v>1317</v>
      </c>
      <c r="C115" s="54">
        <v>90148</v>
      </c>
    </row>
    <row r="116" spans="1:3" ht="21">
      <c r="A116" s="52">
        <v>11</v>
      </c>
      <c r="B116" s="53" t="s">
        <v>2463</v>
      </c>
      <c r="C116" s="54">
        <v>211605</v>
      </c>
    </row>
    <row r="117" spans="1:3" ht="21">
      <c r="A117" s="52">
        <v>34</v>
      </c>
      <c r="B117" s="53" t="s">
        <v>357</v>
      </c>
      <c r="C117" s="54">
        <v>82056</v>
      </c>
    </row>
    <row r="118" spans="1:3" ht="21">
      <c r="A118" s="52">
        <v>96</v>
      </c>
      <c r="B118" s="53" t="s">
        <v>788</v>
      </c>
      <c r="C118" s="54">
        <v>10654</v>
      </c>
    </row>
    <row r="119" spans="1:3" ht="21">
      <c r="A119" s="52">
        <v>38</v>
      </c>
      <c r="B119" s="53" t="s">
        <v>2464</v>
      </c>
      <c r="C119" s="54">
        <v>69301</v>
      </c>
    </row>
    <row r="120" spans="1:3" ht="21">
      <c r="A120" s="52">
        <v>78</v>
      </c>
      <c r="B120" s="53" t="s">
        <v>2465</v>
      </c>
      <c r="C120" s="54">
        <v>22619</v>
      </c>
    </row>
    <row r="121" spans="1:3" ht="21">
      <c r="A121" s="52">
        <v>18</v>
      </c>
      <c r="B121" s="53" t="s">
        <v>2466</v>
      </c>
      <c r="C121" s="54">
        <v>158507</v>
      </c>
    </row>
    <row r="122" spans="1:3" ht="21">
      <c r="A122" s="52">
        <v>36</v>
      </c>
      <c r="B122" s="53" t="s">
        <v>1322</v>
      </c>
      <c r="C122" s="54">
        <v>72853</v>
      </c>
    </row>
    <row r="123" spans="1:3" ht="21">
      <c r="A123" s="52">
        <v>71</v>
      </c>
      <c r="B123" s="53" t="s">
        <v>366</v>
      </c>
      <c r="C123" s="54">
        <v>28413</v>
      </c>
    </row>
    <row r="124" spans="1:3" ht="21">
      <c r="A124" s="52">
        <v>89</v>
      </c>
      <c r="B124" s="53" t="s">
        <v>2467</v>
      </c>
      <c r="C124" s="54">
        <v>13995</v>
      </c>
    </row>
    <row r="125" spans="1:3" ht="21">
      <c r="A125" s="52">
        <v>94</v>
      </c>
      <c r="B125" s="53" t="s">
        <v>183</v>
      </c>
      <c r="C125" s="54">
        <v>11150</v>
      </c>
    </row>
    <row r="126" spans="1:3" ht="21">
      <c r="A126" s="52">
        <v>29</v>
      </c>
      <c r="B126" s="53" t="s">
        <v>2468</v>
      </c>
      <c r="C126" s="54">
        <v>97765</v>
      </c>
    </row>
    <row r="127" spans="1:3" ht="21">
      <c r="A127" s="52">
        <v>51</v>
      </c>
      <c r="B127" s="53" t="s">
        <v>2469</v>
      </c>
      <c r="C127" s="54">
        <v>55659</v>
      </c>
    </row>
    <row r="128" spans="1:3" ht="21">
      <c r="A128" s="52">
        <v>27</v>
      </c>
      <c r="B128" s="53" t="s">
        <v>2470</v>
      </c>
      <c r="C128" s="54">
        <v>102290</v>
      </c>
    </row>
    <row r="129" spans="1:3" ht="21">
      <c r="A129" s="52">
        <v>5</v>
      </c>
      <c r="B129" s="53" t="s">
        <v>187</v>
      </c>
      <c r="C129" s="54">
        <v>334562</v>
      </c>
    </row>
    <row r="130" spans="1:3" ht="21">
      <c r="A130" s="52">
        <v>73</v>
      </c>
      <c r="B130" s="53" t="s">
        <v>2471</v>
      </c>
      <c r="C130" s="54">
        <v>27210</v>
      </c>
    </row>
    <row r="131" spans="1:3" ht="21">
      <c r="A131" s="52">
        <v>66</v>
      </c>
      <c r="B131" s="53" t="s">
        <v>2472</v>
      </c>
      <c r="C131" s="54">
        <v>36698</v>
      </c>
    </row>
    <row r="132" spans="1:3" ht="21">
      <c r="A132" s="52">
        <v>16</v>
      </c>
      <c r="B132" s="53" t="s">
        <v>188</v>
      </c>
      <c r="C132" s="54">
        <v>166837</v>
      </c>
    </row>
    <row r="133" spans="1:3" ht="21">
      <c r="A133" s="52">
        <v>61</v>
      </c>
      <c r="B133" s="53" t="s">
        <v>2473</v>
      </c>
      <c r="C133" s="54">
        <v>42543</v>
      </c>
    </row>
    <row r="134" spans="1:3" ht="21">
      <c r="A134" s="52">
        <v>48</v>
      </c>
      <c r="B134" s="53" t="s">
        <v>2474</v>
      </c>
      <c r="C134" s="54">
        <v>58965</v>
      </c>
    </row>
    <row r="135" spans="1:3" ht="21">
      <c r="A135" s="52">
        <v>6</v>
      </c>
      <c r="B135" s="53" t="s">
        <v>2475</v>
      </c>
      <c r="C135" s="54">
        <v>317665</v>
      </c>
    </row>
    <row r="136" spans="1:3" ht="21">
      <c r="A136" s="52">
        <v>53</v>
      </c>
      <c r="B136" s="53" t="s">
        <v>2476</v>
      </c>
      <c r="C136" s="54">
        <v>52069</v>
      </c>
    </row>
    <row r="137" spans="1:3" ht="21">
      <c r="A137" s="52">
        <v>4</v>
      </c>
      <c r="B137" s="53" t="s">
        <v>1342</v>
      </c>
      <c r="C137" s="54">
        <v>378499</v>
      </c>
    </row>
    <row r="138" spans="1:3" ht="21">
      <c r="A138" s="52">
        <v>40</v>
      </c>
      <c r="B138" s="53" t="s">
        <v>195</v>
      </c>
      <c r="C138" s="54">
        <v>68027</v>
      </c>
    </row>
    <row r="139" spans="1:3" ht="21">
      <c r="A139" s="52">
        <v>10</v>
      </c>
      <c r="B139" s="53" t="s">
        <v>2477</v>
      </c>
      <c r="C139" s="54">
        <v>222119</v>
      </c>
    </row>
    <row r="140" spans="1:3" ht="21">
      <c r="A140" s="52">
        <v>93</v>
      </c>
      <c r="B140" s="53" t="s">
        <v>2478</v>
      </c>
      <c r="C140" s="54">
        <v>11519</v>
      </c>
    </row>
    <row r="141" spans="1:3" ht="21">
      <c r="A141" s="52">
        <v>98</v>
      </c>
      <c r="B141" s="53" t="s">
        <v>973</v>
      </c>
      <c r="C141" s="54">
        <v>8501</v>
      </c>
    </row>
    <row r="142" spans="1:3" ht="21">
      <c r="A142" s="52">
        <v>47</v>
      </c>
      <c r="B142" s="53" t="s">
        <v>2479</v>
      </c>
      <c r="C142" s="54">
        <v>59823</v>
      </c>
    </row>
    <row r="143" spans="1:3" ht="21">
      <c r="A143" s="52">
        <v>80</v>
      </c>
      <c r="B143" s="53" t="s">
        <v>199</v>
      </c>
      <c r="C143" s="54">
        <v>20987</v>
      </c>
    </row>
    <row r="144" spans="1:3" ht="21">
      <c r="A144" s="52">
        <v>3</v>
      </c>
      <c r="B144" s="53" t="s">
        <v>2480</v>
      </c>
      <c r="C144" s="54">
        <v>532956</v>
      </c>
    </row>
    <row r="145" spans="1:3" ht="21">
      <c r="A145" s="52">
        <v>54</v>
      </c>
      <c r="B145" s="53" t="s">
        <v>2481</v>
      </c>
      <c r="C145" s="54">
        <v>50678</v>
      </c>
    </row>
    <row r="146" spans="1:3" ht="21">
      <c r="A146" s="52">
        <v>23</v>
      </c>
      <c r="B146" s="53" t="s">
        <v>2482</v>
      </c>
      <c r="C146" s="54">
        <v>134328</v>
      </c>
    </row>
    <row r="147" spans="1:3" ht="21">
      <c r="A147" s="52">
        <v>45</v>
      </c>
      <c r="B147" s="53" t="s">
        <v>207</v>
      </c>
      <c r="C147" s="54">
        <v>61862</v>
      </c>
    </row>
    <row r="148" spans="1:3" ht="21">
      <c r="A148" s="52">
        <v>26</v>
      </c>
      <c r="B148" s="53" t="s">
        <v>208</v>
      </c>
      <c r="C148" s="54">
        <v>116298</v>
      </c>
    </row>
    <row r="149" spans="1:3" ht="21">
      <c r="A149" s="52">
        <v>76</v>
      </c>
      <c r="B149" s="53" t="s">
        <v>2483</v>
      </c>
      <c r="C149" s="54">
        <v>23752</v>
      </c>
    </row>
    <row r="150" spans="1:3" ht="21">
      <c r="A150" s="52">
        <v>52</v>
      </c>
      <c r="B150" s="53" t="s">
        <v>2484</v>
      </c>
      <c r="C150" s="54">
        <v>54590</v>
      </c>
    </row>
    <row r="151" spans="1:3" ht="21">
      <c r="A151" s="52">
        <v>99</v>
      </c>
      <c r="B151" s="53" t="s">
        <v>2485</v>
      </c>
      <c r="C151" s="54">
        <v>5089</v>
      </c>
    </row>
    <row r="152" spans="1:3" ht="21">
      <c r="A152" s="52">
        <v>15</v>
      </c>
      <c r="B152" s="53" t="s">
        <v>2486</v>
      </c>
      <c r="C152" s="54">
        <v>178853</v>
      </c>
    </row>
    <row r="153" spans="1:3" ht="21">
      <c r="A153" s="52">
        <v>60</v>
      </c>
      <c r="B153" s="53" t="s">
        <v>213</v>
      </c>
      <c r="C153" s="54">
        <v>43435</v>
      </c>
    </row>
    <row r="154" spans="1:3" ht="21">
      <c r="A154" s="52">
        <v>12</v>
      </c>
      <c r="B154" s="53" t="s">
        <v>2487</v>
      </c>
      <c r="C154" s="54">
        <v>203308</v>
      </c>
    </row>
    <row r="155" spans="1:3" ht="21">
      <c r="A155" s="52">
        <v>97</v>
      </c>
      <c r="B155" s="53" t="s">
        <v>444</v>
      </c>
      <c r="C155" s="54">
        <v>9453</v>
      </c>
    </row>
    <row r="156" spans="1:3" ht="21">
      <c r="A156" s="52">
        <v>46</v>
      </c>
      <c r="B156" s="53" t="s">
        <v>459</v>
      </c>
      <c r="C156" s="54">
        <v>61083</v>
      </c>
    </row>
    <row r="157" spans="1:3" ht="21">
      <c r="A157" s="52">
        <v>49</v>
      </c>
      <c r="B157" s="53" t="s">
        <v>2488</v>
      </c>
      <c r="C157" s="54">
        <v>56350</v>
      </c>
    </row>
    <row r="158" spans="1:3" ht="21">
      <c r="A158" s="52">
        <v>33</v>
      </c>
      <c r="B158" s="53" t="s">
        <v>221</v>
      </c>
      <c r="C158" s="54">
        <v>84580</v>
      </c>
    </row>
    <row r="159" spans="1:3" ht="21">
      <c r="A159" s="52">
        <v>67</v>
      </c>
      <c r="B159" s="53" t="s">
        <v>225</v>
      </c>
      <c r="C159" s="54">
        <v>35172</v>
      </c>
    </row>
    <row r="160" spans="1:3" ht="21">
      <c r="A160" s="52">
        <v>79</v>
      </c>
      <c r="B160" s="53" t="s">
        <v>226</v>
      </c>
      <c r="C160" s="54">
        <v>21608</v>
      </c>
    </row>
    <row r="161" spans="1:3" ht="21">
      <c r="A161" s="52">
        <v>77</v>
      </c>
      <c r="B161" s="53" t="s">
        <v>469</v>
      </c>
      <c r="C161" s="54">
        <v>22644</v>
      </c>
    </row>
    <row r="162" spans="1:3" ht="21">
      <c r="A162" s="52">
        <v>57</v>
      </c>
      <c r="B162" s="53" t="s">
        <v>838</v>
      </c>
      <c r="C162" s="54">
        <v>45402</v>
      </c>
    </row>
    <row r="163" spans="1:3" ht="21">
      <c r="A163" s="52">
        <v>1</v>
      </c>
      <c r="B163" s="53" t="s">
        <v>2489</v>
      </c>
      <c r="C163" s="54">
        <v>1095170</v>
      </c>
    </row>
    <row r="164" spans="1:3" ht="21">
      <c r="A164" s="52">
        <v>87</v>
      </c>
      <c r="B164" s="53" t="s">
        <v>481</v>
      </c>
      <c r="C164" s="54">
        <v>14959</v>
      </c>
    </row>
    <row r="165" spans="1:3" ht="21">
      <c r="A165" s="52">
        <v>72</v>
      </c>
      <c r="B165" s="53" t="s">
        <v>232</v>
      </c>
      <c r="C165" s="54">
        <v>27223</v>
      </c>
    </row>
    <row r="166" spans="1:3" ht="21">
      <c r="A166" s="52">
        <v>28</v>
      </c>
      <c r="B166" s="53" t="s">
        <v>233</v>
      </c>
      <c r="C166" s="54">
        <v>99263</v>
      </c>
    </row>
    <row r="167" spans="1:3" ht="21">
      <c r="A167" s="52">
        <v>30</v>
      </c>
      <c r="B167" s="53" t="s">
        <v>2490</v>
      </c>
      <c r="C167" s="54">
        <v>94287</v>
      </c>
    </row>
    <row r="168" spans="1:3" ht="21">
      <c r="A168" s="52">
        <v>9</v>
      </c>
      <c r="B168" s="53" t="s">
        <v>2491</v>
      </c>
      <c r="C168" s="54">
        <v>231448</v>
      </c>
    </row>
    <row r="169" spans="1:3" ht="21">
      <c r="A169" s="52">
        <v>83</v>
      </c>
      <c r="B169" s="53" t="s">
        <v>2492</v>
      </c>
      <c r="C169" s="54">
        <v>19672</v>
      </c>
    </row>
    <row r="170" spans="1:3" ht="21">
      <c r="A170" s="52">
        <v>13</v>
      </c>
      <c r="B170" s="53" t="s">
        <v>2493</v>
      </c>
      <c r="C170" s="54">
        <v>198377</v>
      </c>
    </row>
    <row r="171" spans="1:3" ht="21">
      <c r="A171" s="52">
        <v>19</v>
      </c>
      <c r="B171" s="53" t="s">
        <v>491</v>
      </c>
      <c r="C171" s="54">
        <v>146354</v>
      </c>
    </row>
    <row r="172" spans="1:3" ht="21">
      <c r="A172" s="52">
        <v>91</v>
      </c>
      <c r="B172" s="53" t="s">
        <v>2494</v>
      </c>
      <c r="C172" s="54">
        <v>12673</v>
      </c>
    </row>
    <row r="173" spans="1:3" ht="21">
      <c r="A173" s="52">
        <v>62</v>
      </c>
      <c r="B173" s="53" t="s">
        <v>2495</v>
      </c>
      <c r="C173" s="54">
        <v>39775</v>
      </c>
    </row>
    <row r="174" spans="1:3" ht="21">
      <c r="A174" s="52">
        <v>44</v>
      </c>
      <c r="B174" s="53" t="s">
        <v>2496</v>
      </c>
      <c r="C174" s="54">
        <v>61891</v>
      </c>
    </row>
    <row r="175" spans="1:3" ht="21">
      <c r="A175" s="52">
        <v>90</v>
      </c>
      <c r="B175" s="53" t="s">
        <v>2497</v>
      </c>
      <c r="C175" s="54">
        <v>13513</v>
      </c>
    </row>
    <row r="176" spans="1:3" ht="21">
      <c r="A176" s="52">
        <v>63</v>
      </c>
      <c r="B176" s="53" t="s">
        <v>2498</v>
      </c>
      <c r="C176" s="54">
        <v>39561</v>
      </c>
    </row>
    <row r="177" spans="1:3" ht="21">
      <c r="A177" s="52">
        <v>14</v>
      </c>
      <c r="B177" s="53" t="s">
        <v>2499</v>
      </c>
      <c r="C177" s="54">
        <v>179961</v>
      </c>
    </row>
    <row r="178" spans="1:3" ht="21">
      <c r="A178" s="52">
        <v>81</v>
      </c>
      <c r="B178" s="53" t="s">
        <v>239</v>
      </c>
      <c r="C178" s="54">
        <v>20682</v>
      </c>
    </row>
    <row r="179" spans="1:3" ht="21">
      <c r="A179" s="52">
        <v>20</v>
      </c>
      <c r="B179" s="53" t="s">
        <v>849</v>
      </c>
      <c r="C179" s="54">
        <v>143460</v>
      </c>
    </row>
    <row r="180" spans="1:3" ht="21">
      <c r="A180" s="52">
        <v>58</v>
      </c>
      <c r="B180" s="53" t="s">
        <v>1373</v>
      </c>
      <c r="C180" s="54">
        <v>44759</v>
      </c>
    </row>
    <row r="181" spans="1:3" ht="21">
      <c r="A181" s="52">
        <v>24</v>
      </c>
      <c r="B181" s="53" t="s">
        <v>2500</v>
      </c>
      <c r="C181" s="54">
        <v>131656</v>
      </c>
    </row>
    <row r="182" spans="1:3" ht="21">
      <c r="A182" s="52">
        <v>31</v>
      </c>
      <c r="B182" s="53" t="s">
        <v>2309</v>
      </c>
      <c r="C182" s="54">
        <v>91051</v>
      </c>
    </row>
    <row r="183" spans="1:3" ht="21">
      <c r="A183" s="52">
        <v>21</v>
      </c>
      <c r="B183" s="53" t="s">
        <v>1664</v>
      </c>
      <c r="C183" s="54">
        <v>140978</v>
      </c>
    </row>
    <row r="184" spans="1:3" ht="21">
      <c r="A184" s="52">
        <v>41</v>
      </c>
      <c r="B184" s="53" t="s">
        <v>244</v>
      </c>
      <c r="C184" s="54">
        <v>66741</v>
      </c>
    </row>
    <row r="185" spans="1:3" ht="21">
      <c r="A185" s="52">
        <v>42</v>
      </c>
      <c r="B185" s="53" t="s">
        <v>2501</v>
      </c>
      <c r="C185" s="54">
        <v>63284</v>
      </c>
    </row>
    <row r="186" spans="1:3" ht="21">
      <c r="A186" s="52">
        <v>68</v>
      </c>
      <c r="B186" s="53" t="s">
        <v>2165</v>
      </c>
      <c r="C186" s="54">
        <v>34921</v>
      </c>
    </row>
    <row r="187" spans="1:3" ht="21">
      <c r="A187" s="52">
        <v>43</v>
      </c>
      <c r="B187" s="53" t="s">
        <v>2502</v>
      </c>
      <c r="C187" s="54">
        <v>62050</v>
      </c>
    </row>
    <row r="188" spans="1:3" ht="21">
      <c r="A188" s="52">
        <v>56</v>
      </c>
      <c r="B188" s="53" t="s">
        <v>2503</v>
      </c>
      <c r="C188" s="54">
        <v>45688</v>
      </c>
    </row>
    <row r="189" spans="1:3" ht="21">
      <c r="A189" s="52">
        <v>37</v>
      </c>
      <c r="B189" s="53" t="s">
        <v>2504</v>
      </c>
      <c r="C189" s="54">
        <v>71904</v>
      </c>
    </row>
    <row r="190" spans="1:3" ht="21">
      <c r="A190" s="52">
        <v>88</v>
      </c>
      <c r="B190" s="53" t="s">
        <v>2505</v>
      </c>
      <c r="C190" s="54">
        <v>14241</v>
      </c>
    </row>
    <row r="191" spans="1:3" ht="21">
      <c r="A191" s="52">
        <v>69</v>
      </c>
      <c r="B191" s="53" t="s">
        <v>2506</v>
      </c>
      <c r="C191" s="54">
        <v>34039</v>
      </c>
    </row>
    <row r="192" spans="1:3" ht="21">
      <c r="A192" s="52">
        <v>100</v>
      </c>
      <c r="B192" s="53" t="s">
        <v>2507</v>
      </c>
      <c r="C192" s="54">
        <v>3978</v>
      </c>
    </row>
    <row r="193" spans="1:3" ht="21">
      <c r="A193" s="52">
        <v>8</v>
      </c>
      <c r="B193" s="53" t="s">
        <v>255</v>
      </c>
      <c r="C193" s="54">
        <v>235767</v>
      </c>
    </row>
    <row r="194" spans="1:3" ht="21">
      <c r="A194" s="52">
        <v>59</v>
      </c>
      <c r="B194" s="53" t="s">
        <v>2508</v>
      </c>
      <c r="C194" s="54">
        <v>44614</v>
      </c>
    </row>
    <row r="195" spans="1:3" ht="21">
      <c r="A195" s="52">
        <v>2</v>
      </c>
      <c r="B195" s="53" t="s">
        <v>2509</v>
      </c>
      <c r="C195" s="54">
        <v>1091662</v>
      </c>
    </row>
    <row r="196" spans="1:3" ht="21">
      <c r="A196" s="52">
        <v>82</v>
      </c>
      <c r="B196" s="53" t="s">
        <v>257</v>
      </c>
      <c r="C196" s="54">
        <v>19746</v>
      </c>
    </row>
    <row r="197" spans="1:3" ht="21">
      <c r="A197" s="52">
        <v>92</v>
      </c>
      <c r="B197" s="53" t="s">
        <v>258</v>
      </c>
      <c r="C197" s="54">
        <v>11788</v>
      </c>
    </row>
    <row r="198" spans="1:3" ht="21">
      <c r="A198" s="52">
        <v>50</v>
      </c>
      <c r="B198" s="53" t="s">
        <v>2510</v>
      </c>
      <c r="C198" s="54">
        <v>55669</v>
      </c>
    </row>
    <row r="199" spans="1:3" ht="21">
      <c r="A199" s="52">
        <v>25</v>
      </c>
      <c r="B199" s="53" t="s">
        <v>259</v>
      </c>
      <c r="C199" s="54">
        <v>123785</v>
      </c>
    </row>
    <row r="200" spans="1:3" ht="21">
      <c r="A200" s="52">
        <v>39</v>
      </c>
      <c r="B200" s="53" t="s">
        <v>1395</v>
      </c>
      <c r="C200" s="54">
        <v>68341</v>
      </c>
    </row>
    <row r="201" spans="1:3" ht="21">
      <c r="A201" s="52">
        <v>35</v>
      </c>
      <c r="B201" s="53" t="s">
        <v>263</v>
      </c>
      <c r="C201" s="54">
        <v>81579</v>
      </c>
    </row>
    <row r="202" spans="1:3" ht="21">
      <c r="A202" s="52">
        <v>64</v>
      </c>
      <c r="B202" s="53" t="s">
        <v>2511</v>
      </c>
      <c r="C202" s="54">
        <v>37589</v>
      </c>
    </row>
    <row r="203" spans="1:3" ht="21">
      <c r="A203" s="52">
        <v>85</v>
      </c>
      <c r="B203" s="53" t="s">
        <v>2512</v>
      </c>
      <c r="C203" s="54">
        <v>17870</v>
      </c>
    </row>
  </sheetData>
  <hyperlinks>
    <hyperlink ref="B163" r:id="rId1" display="https://www.northcarolina-demographics.com/mecklenburg-county-demographics" xr:uid="{5703BB6F-E0E0-954F-AAE1-047231DFC4F1}"/>
    <hyperlink ref="B195" r:id="rId2" display="https://www.northcarolina-demographics.com/wake-county-demographics" xr:uid="{63EDBFBD-421B-364B-B24D-4FC02FC6295F}"/>
    <hyperlink ref="B144" r:id="rId3" display="https://www.northcarolina-demographics.com/guilford-county-demographics" xr:uid="{BE94BD01-35AF-F84D-A46F-A1167819E1D8}"/>
    <hyperlink ref="B137" r:id="rId4" display="https://www.northcarolina-demographics.com/forsyth-county-demographics" xr:uid="{C70D1B92-660D-1648-A4A8-5CDBBE889B67}"/>
    <hyperlink ref="B129" r:id="rId5" display="https://www.northcarolina-demographics.com/cumberland-county-demographics" xr:uid="{1865B575-A001-D74D-9E31-084ADBAADBDD}"/>
    <hyperlink ref="B135" r:id="rId6" display="https://www.northcarolina-demographics.com/durham-county-demographics" xr:uid="{F0677FF4-34CF-C745-AF78-5F098EA08F50}"/>
    <hyperlink ref="B114" r:id="rId7" display="https://www.northcarolina-demographics.com/buncombe-county-demographics" xr:uid="{6BC0A681-AA91-6A4E-8067-1CD16CEC0F75}"/>
    <hyperlink ref="B193" r:id="rId8" display="https://www.northcarolina-demographics.com/union-county-demographics" xr:uid="{49912CBA-5BD2-CD48-8933-C78D83CF4DC9}"/>
    <hyperlink ref="B168" r:id="rId9" display="https://www.northcarolina-demographics.com/new-hanover-county-demographics" xr:uid="{8FD0C894-CCD8-EB45-AB60-6F83A0F28E6F}"/>
    <hyperlink ref="B139" r:id="rId10" display="https://www.northcarolina-demographics.com/gaston-county-demographics" xr:uid="{32C02C32-000D-A446-AF07-A7BB9DEE8C3A}"/>
    <hyperlink ref="B116" r:id="rId11" display="https://www.northcarolina-demographics.com/cabarrus-county-demographics" xr:uid="{7466AE46-DFFD-164F-9E54-FF133271CAAB}"/>
    <hyperlink ref="B154" r:id="rId12" display="https://www.northcarolina-demographics.com/johnston-county-demographics" xr:uid="{126CDF08-1642-1144-A4A5-0DE12F8F810A}"/>
    <hyperlink ref="B170" r:id="rId13" display="https://www.northcarolina-demographics.com/onslow-county-demographics" xr:uid="{1CDE94CE-0361-B04A-9ACD-56DAED140191}"/>
    <hyperlink ref="B177" r:id="rId14" display="https://www.northcarolina-demographics.com/pitt-county-demographics" xr:uid="{E4F8AF40-BDE8-E746-A4B0-BD797A902220}"/>
    <hyperlink ref="B152" r:id="rId15" display="https://www.northcarolina-demographics.com/iredell-county-demographics" xr:uid="{57BE2EC6-0315-C241-A91D-40921A57E4A9}"/>
    <hyperlink ref="B132" r:id="rId16" display="https://www.northcarolina-demographics.com/davidson-county-demographics" xr:uid="{38E60FA9-1967-414F-8CE2-E39BE1D39A1C}"/>
    <hyperlink ref="B104" r:id="rId17" display="https://www.northcarolina-demographics.com/alamance-county-demographics" xr:uid="{03949405-962A-854E-9D53-8CD6A9027C3D}"/>
    <hyperlink ref="B121" r:id="rId18" display="https://www.northcarolina-demographics.com/catawba-county-demographics" xr:uid="{C650DAE5-9854-C349-9591-480EF340C38C}"/>
    <hyperlink ref="B171" r:id="rId19" display="https://www.northcarolina-demographics.com/orange-county-demographics" xr:uid="{BA8D4958-82D6-184B-A5B8-F452E0819256}"/>
    <hyperlink ref="B179" r:id="rId20" display="https://www.northcarolina-demographics.com/randolph-county-demographics" xr:uid="{834D5F6E-5B59-C147-B5D2-72C2BE0ABC25}"/>
    <hyperlink ref="B183" r:id="rId21" display="https://www.northcarolina-demographics.com/rowan-county-demographics" xr:uid="{146388FD-EA42-3348-8A7A-4D2702E94F3A}"/>
    <hyperlink ref="B113" r:id="rId22" display="https://www.northcarolina-demographics.com/brunswick-county-demographics" xr:uid="{5AC047D4-79CE-CA40-BD12-371743F212CF}"/>
    <hyperlink ref="B146" r:id="rId23" display="https://www.northcarolina-demographics.com/harnett-county-demographics" xr:uid="{D1255959-604C-C24D-96F0-F4ABEAFFD2A8}"/>
    <hyperlink ref="B181" r:id="rId24" display="https://www.northcarolina-demographics.com/robeson-county-demographics" xr:uid="{E20DE76F-5B40-D44E-9B58-BDA90CEE12D9}"/>
    <hyperlink ref="B199" r:id="rId25" display="https://www.northcarolina-demographics.com/wayne-county-demographics" xr:uid="{F821FF58-FD72-2D47-999E-55F4320A94F5}"/>
    <hyperlink ref="B148" r:id="rId26" display="https://www.northcarolina-demographics.com/henderson-county-demographics" xr:uid="{3F53D53D-298D-C041-9485-F87D2FD2B0D5}"/>
    <hyperlink ref="B128" r:id="rId27" display="https://www.northcarolina-demographics.com/craven-county-demographics" xr:uid="{E15AD027-462F-0E48-AC7E-6E1FAC32BB27}"/>
    <hyperlink ref="B166" r:id="rId28" display="https://www.northcarolina-demographics.com/moore-county-demographics" xr:uid="{55179248-32D0-F449-B700-2DE667D7C349}"/>
    <hyperlink ref="B126" r:id="rId29" display="https://www.northcarolina-demographics.com/cleveland-county-demographics" xr:uid="{97472862-01B0-1449-88E1-9FBAFE0D2D8C}"/>
    <hyperlink ref="B167" r:id="rId30" display="https://www.northcarolina-demographics.com/nash-county-demographics" xr:uid="{76C7CEAE-A9BF-AE4F-AE17-15CA0F8212F5}"/>
    <hyperlink ref="B182" r:id="rId31" display="https://www.northcarolina-demographics.com/rockingham-county-demographics" xr:uid="{92C22EC6-1A72-B24F-8123-FBD0F5A97F51}"/>
    <hyperlink ref="B115" r:id="rId32" display="https://www.northcarolina-demographics.com/burke-county-demographics" xr:uid="{240E85AB-0CD1-E040-B9CD-FD835F3AE22B}"/>
    <hyperlink ref="B158" r:id="rId33" display="https://www.northcarolina-demographics.com/lincoln-county-demographics" xr:uid="{274B22BF-C635-BE47-9C28-0762393ED83E}"/>
    <hyperlink ref="B117" r:id="rId34" display="https://www.northcarolina-demographics.com/caldwell-county-demographics" xr:uid="{C935C706-7994-9A46-89D4-495FC82E7F3A}"/>
    <hyperlink ref="B201" r:id="rId35" display="https://www.northcarolina-demographics.com/wilson-county-demographics" xr:uid="{84943122-BE88-0D4F-A210-80B95F9A919D}"/>
    <hyperlink ref="B122" r:id="rId36" display="https://www.northcarolina-demographics.com/chatham-county-demographics" xr:uid="{618C03B3-5056-4B47-98C4-DA797E8B9FEB}"/>
    <hyperlink ref="B189" r:id="rId37" display="https://www.northcarolina-demographics.com/surry-county-demographics" xr:uid="{B9FCB4BA-BE55-C245-A318-6CDBC36292FC}"/>
    <hyperlink ref="B119" r:id="rId38" display="https://www.northcarolina-demographics.com/carteret-county-demographics" xr:uid="{24E53498-EBC6-5B43-B356-A8F2838F6069}"/>
    <hyperlink ref="B200" r:id="rId39" display="https://www.northcarolina-demographics.com/wilkes-county-demographics" xr:uid="{DAB0438F-6539-794A-860B-59122F861389}"/>
    <hyperlink ref="B138" r:id="rId40" display="https://www.northcarolina-demographics.com/franklin-county-demographics" xr:uid="{27F8E51C-B959-4144-8E51-F153B8B37F32}"/>
    <hyperlink ref="B184" r:id="rId41" display="https://www.northcarolina-demographics.com/rutherford-county-demographics" xr:uid="{27850224-872B-4946-B88F-68A54EF2DBCE}"/>
    <hyperlink ref="B185" r:id="rId42" display="https://www.northcarolina-demographics.com/sampson-county-demographics" xr:uid="{0C1E0E1E-B0A2-054B-8B1A-8EDD56AA4EC2}"/>
    <hyperlink ref="B187" r:id="rId43" display="https://www.northcarolina-demographics.com/stanly-county-demographics" xr:uid="{2F03B57B-CC1E-D945-B591-106ADAB01E95}"/>
    <hyperlink ref="B174" r:id="rId44" display="https://www.northcarolina-demographics.com/pender-county-demographics" xr:uid="{B1AAB37C-EFB4-8644-8EA0-46A03A84BC6F}"/>
    <hyperlink ref="B147" r:id="rId45" display="https://www.northcarolina-demographics.com/haywood-county-demographics" xr:uid="{25F4E458-4055-F84C-8A6A-73F51B6FDF23}"/>
    <hyperlink ref="B156" r:id="rId46" display="https://www.northcarolina-demographics.com/lee-county-demographics" xr:uid="{85D3AC0E-CBDA-DE4D-A077-2C0B4EF65C7C}"/>
    <hyperlink ref="B142" r:id="rId47" display="https://www.northcarolina-demographics.com/granville-county-demographics" xr:uid="{BE01C8D7-3C4C-7D42-9771-9CAB55E8AA7B}"/>
    <hyperlink ref="B134" r:id="rId48" display="https://www.northcarolina-demographics.com/duplin-county-demographics" xr:uid="{B69B5FD3-F6AE-614C-80D5-6EA4CB607E16}"/>
    <hyperlink ref="B157" r:id="rId49" display="https://www.northcarolina-demographics.com/lenoir-county-demographics" xr:uid="{FDAA681E-A1F6-9F41-ADA4-891C55F35F1D}"/>
    <hyperlink ref="B198" r:id="rId50" display="https://www.northcarolina-demographics.com/watauga-county-demographics" xr:uid="{DEABA21A-780A-9344-89D7-0C30DAC7B2A5}"/>
    <hyperlink ref="B127" r:id="rId51" display="https://www.northcarolina-demographics.com/columbus-county-demographics" xr:uid="{4F47DE23-AAA4-4649-8152-1486E6690723}"/>
    <hyperlink ref="B150" r:id="rId52" display="https://www.northcarolina-demographics.com/hoke-county-demographics" xr:uid="{C501E18D-5B7B-4C43-8A73-930C48D708DF}"/>
    <hyperlink ref="B136" r:id="rId53" display="https://www.northcarolina-demographics.com/edgecombe-county-demographics" xr:uid="{274CBFEF-F80C-944F-8A8E-3279B28AAF56}"/>
    <hyperlink ref="B145" r:id="rId54" display="https://www.northcarolina-demographics.com/halifax-county-demographics" xr:uid="{5032A40C-C362-AC45-AF67-6DB296C18CF7}"/>
    <hyperlink ref="B110" r:id="rId55" display="https://www.northcarolina-demographics.com/beaufort-county-demographics" xr:uid="{55AAF939-A347-DB4C-B8E7-005F8F363339}"/>
    <hyperlink ref="B188" r:id="rId56" display="https://www.northcarolina-demographics.com/stokes-county-demographics" xr:uid="{A146ED24-09E2-AE48-8643-B6E532A92F76}"/>
    <hyperlink ref="B162" r:id="rId57" display="https://www.northcarolina-demographics.com/mcdowell-county-demographics" xr:uid="{BC103815-6075-2A41-95C0-D6A364D317AA}"/>
    <hyperlink ref="B180" r:id="rId58" display="https://www.northcarolina-demographics.com/richmond-county-demographics" xr:uid="{2E88EBA0-F7C5-4647-A06D-53B2F532B73C}"/>
    <hyperlink ref="B194" r:id="rId59" display="https://www.northcarolina-demographics.com/vance-county-demographics" xr:uid="{DE1BE7D9-4BBA-374F-A49F-077C7181E7DA}"/>
    <hyperlink ref="B153" r:id="rId60" display="https://www.northcarolina-demographics.com/jackson-county-demographics" xr:uid="{5A56DAAC-CBF4-624B-807A-3FAD352A35B9}"/>
    <hyperlink ref="B133" r:id="rId61" display="https://www.northcarolina-demographics.com/davie-county-demographics" xr:uid="{E5A151DF-C37A-1347-B490-C71F50492EE7}"/>
    <hyperlink ref="B173" r:id="rId62" display="https://www.northcarolina-demographics.com/pasquotank-county-demographics" xr:uid="{0148BCE5-5AAB-D84B-A0F4-D2D83C137838}"/>
    <hyperlink ref="B176" r:id="rId63" display="https://www.northcarolina-demographics.com/person-county-demographics" xr:uid="{BE2F7D41-43A2-D646-AF6B-976FBAA69DDF}"/>
    <hyperlink ref="B202" r:id="rId64" display="https://www.northcarolina-demographics.com/yadkin-county-demographics" xr:uid="{78CF16B7-09B9-6E42-AB00-BC30C3C4A9A0}"/>
    <hyperlink ref="B105" r:id="rId65" display="https://www.northcarolina-demographics.com/alexander-county-demographics" xr:uid="{7823A4BB-4714-3C42-8EA0-CE416ECEB429}"/>
    <hyperlink ref="B131" r:id="rId66" display="https://www.northcarolina-demographics.com/dare-county-demographics" xr:uid="{518820CA-23A3-2244-B1D6-82507AEF9242}"/>
    <hyperlink ref="B159" r:id="rId67" display="https://www.northcarolina-demographics.com/macon-county-demographics" xr:uid="{992CB7E3-8425-8C43-8F32-AF16DA58A9F6}"/>
    <hyperlink ref="B186" r:id="rId68" display="https://www.northcarolina-demographics.com/scotland-county-demographics" xr:uid="{F9446C2E-D105-E64E-96CB-FF30EA04B806}"/>
    <hyperlink ref="B191" r:id="rId69" display="https://www.northcarolina-demographics.com/transylvania-county-demographics" xr:uid="{04E8B33E-2A18-464B-86DE-3F0D9D24C695}"/>
    <hyperlink ref="B112" r:id="rId70" display="https://www.northcarolina-demographics.com/bladen-county-demographics" xr:uid="{D5393771-9319-1642-9C73-7DE8D1E808DE}"/>
    <hyperlink ref="B123" r:id="rId71" display="https://www.northcarolina-demographics.com/cherokee-county-demographics" xr:uid="{D6EEFC3E-971F-8F42-9D83-0E364953E26F}"/>
    <hyperlink ref="B165" r:id="rId72" display="https://www.northcarolina-demographics.com/montgomery-county-demographics" xr:uid="{22FC851D-9206-2643-B9C6-3463CDE13784}"/>
    <hyperlink ref="B130" r:id="rId73" display="https://www.northcarolina-demographics.com/currituck-county-demographics" xr:uid="{9E48860A-8F93-5D4C-BD13-441B882BE3C5}"/>
    <hyperlink ref="B108" r:id="rId74" display="https://www.northcarolina-demographics.com/ashe-county-demographics" xr:uid="{E7BFB97F-2103-E64C-A77B-18D23F3BB809}"/>
    <hyperlink ref="B107" r:id="rId75" display="https://www.northcarolina-demographics.com/anson-county-demographics" xr:uid="{12436EA8-6718-884F-B85C-595C7EDF0DA7}"/>
    <hyperlink ref="B149" r:id="rId76" display="https://www.northcarolina-demographics.com/hertford-county-demographics" xr:uid="{ACD76B29-631C-D14C-9C86-347E0DE77F7D}"/>
    <hyperlink ref="B161" r:id="rId77" display="https://www.northcarolina-demographics.com/martin-county-demographics" xr:uid="{59BF6993-B992-FC4E-B91B-9A8F63760750}"/>
    <hyperlink ref="B120" r:id="rId78" display="https://www.northcarolina-demographics.com/caswell-county-demographics" xr:uid="{18191BE6-0351-364A-B466-1589F8C898E4}"/>
    <hyperlink ref="B160" r:id="rId79" display="https://www.northcarolina-demographics.com/madison-county-demographics" xr:uid="{9D897D69-484A-0A4B-8444-0B59F95BAD6B}"/>
    <hyperlink ref="B143" r:id="rId80" display="https://www.northcarolina-demographics.com/greene-county-demographics" xr:uid="{E915EB43-4C0F-1442-84E5-452F9A2E0FD2}"/>
    <hyperlink ref="B178" r:id="rId81" display="https://www.northcarolina-demographics.com/polk-county-demographics" xr:uid="{92B610D6-2B0B-3641-A237-831346E1927D}"/>
    <hyperlink ref="B196" r:id="rId82" display="https://www.northcarolina-demographics.com/warren-county-demographics" xr:uid="{45FB4B78-E61E-1A41-8B9D-E5632478AEC3}"/>
    <hyperlink ref="B169" r:id="rId83" display="https://www.northcarolina-demographics.com/northampton-county-demographics" xr:uid="{607B74F8-199E-0D4C-A561-6A301D0C9022}"/>
    <hyperlink ref="B111" r:id="rId84" display="https://www.northcarolina-demographics.com/bertie-county-demographics" xr:uid="{21D971D1-0AFF-AE44-9C61-05A3890D000C}"/>
    <hyperlink ref="B203" r:id="rId85" display="https://www.northcarolina-demographics.com/yancey-county-demographics" xr:uid="{F82A9A9A-0ACB-0A4A-A68E-43B3530F5C15}"/>
    <hyperlink ref="B109" r:id="rId86" display="https://www.northcarolina-demographics.com/avery-county-demographics" xr:uid="{FFBECE16-7CDB-E644-836C-B28BDE6C8161}"/>
    <hyperlink ref="B164" r:id="rId87" display="https://www.northcarolina-demographics.com/mitchell-county-demographics" xr:uid="{403606DE-B9DD-7D48-BD39-E778B4C3562F}"/>
    <hyperlink ref="B190" r:id="rId88" display="https://www.northcarolina-demographics.com/swain-county-demographics" xr:uid="{6CDDB1F6-CC82-7940-A374-5A7F70A6CC1D}"/>
    <hyperlink ref="B124" r:id="rId89" display="https://www.northcarolina-demographics.com/chowan-county-demographics" xr:uid="{B59F2AFF-0168-A044-831C-B71BDD945889}"/>
    <hyperlink ref="B175" r:id="rId90" display="https://www.northcarolina-demographics.com/perquimans-county-demographics" xr:uid="{5F043D38-786E-5040-9B07-560D3426DEA5}"/>
    <hyperlink ref="B172" r:id="rId91" display="https://www.northcarolina-demographics.com/pamlico-county-demographics" xr:uid="{DC7C8F4C-0AC0-6F49-B6B5-D32D5DCF08E1}"/>
    <hyperlink ref="B197" r:id="rId92" display="https://www.northcarolina-demographics.com/washington-county-demographics" xr:uid="{4CED7E88-BD7C-2E4D-910E-7B77E12AF922}"/>
    <hyperlink ref="B140" r:id="rId93" display="https://www.northcarolina-demographics.com/gates-county-demographics" xr:uid="{7C63E811-CA11-CC42-96EA-8A34AEE54EF1}"/>
    <hyperlink ref="B125" r:id="rId94" display="https://www.northcarolina-demographics.com/clay-county-demographics" xr:uid="{D8D9D7BD-BB9F-524F-9B4E-98374F99EF7C}"/>
    <hyperlink ref="B106" r:id="rId95" display="https://www.northcarolina-demographics.com/alleghany-county-demographics" xr:uid="{45DAD902-B9A5-A041-9AC6-426FB16FD92D}"/>
    <hyperlink ref="B118" r:id="rId96" display="https://www.northcarolina-demographics.com/camden-county-demographics" xr:uid="{C5D61DE4-A9CE-264A-ADCC-75929D04EABE}"/>
    <hyperlink ref="B155" r:id="rId97" display="https://www.northcarolina-demographics.com/jones-county-demographics" xr:uid="{D52FFC17-5C00-4948-9D2F-3F6FF32F7D1A}"/>
    <hyperlink ref="B141" r:id="rId98" display="https://www.northcarolina-demographics.com/graham-county-demographics" xr:uid="{5E777B70-2B5A-F543-AD29-9F38617F63F9}"/>
    <hyperlink ref="B151" r:id="rId99" display="https://www.northcarolina-demographics.com/hyde-county-demographics" xr:uid="{E7F147E7-5B71-F34F-BD16-02579B1A6106}"/>
    <hyperlink ref="B192" r:id="rId100" display="https://www.northcarolina-demographics.com/tyrrell-county-demographics" xr:uid="{743762CF-20C6-5742-928B-03F94C562673}"/>
  </hyperlinks>
  <pageMargins left="0.7" right="0.7" top="0.75" bottom="0.75" header="0.3" footer="0.3"/>
  <tableParts count="3">
    <tablePart r:id="rId101"/>
    <tablePart r:id="rId102"/>
    <tablePart r:id="rId10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9FAA-E975-3741-B91D-8B0D5EFB309B}">
  <dimension ref="A1:Q109"/>
  <sheetViews>
    <sheetView topLeftCell="C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  <col min="13" max="13" width="18.83203125" bestFit="1" customWidth="1"/>
  </cols>
  <sheetData>
    <row r="1" spans="1:17" ht="21">
      <c r="A1" s="95" t="s">
        <v>64</v>
      </c>
      <c r="B1" s="95" t="s">
        <v>1674</v>
      </c>
      <c r="C1" s="95" t="s">
        <v>1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1094</v>
      </c>
      <c r="B2" s="78" t="s">
        <v>297</v>
      </c>
      <c r="C2" s="78">
        <v>9</v>
      </c>
      <c r="D2" s="99">
        <f>Table76[[#This Row],[2020]]/C57</f>
        <v>3.9630118890356669E-3</v>
      </c>
      <c r="F2" s="16" t="s">
        <v>1144</v>
      </c>
      <c r="G2" s="19">
        <v>981</v>
      </c>
      <c r="H2" s="65">
        <f>Table77[[#This Row],[TRUMP VOTES]]/C57</f>
        <v>0.43196829590488772</v>
      </c>
      <c r="I2" s="18">
        <v>0.77300000000000002</v>
      </c>
      <c r="J2" s="19">
        <v>258</v>
      </c>
      <c r="K2" s="65">
        <f>Table77[[#This Row],[BIDEN VOTES]]/C57</f>
        <v>0.11360634081902246</v>
      </c>
      <c r="L2" s="18">
        <v>0.20300000000000001</v>
      </c>
      <c r="M2" s="65">
        <f>1-(Table77[[#This Row],[NbP]]+Table77[[#This Row],[NbP2]])</f>
        <v>0.45442536327608984</v>
      </c>
      <c r="O2" t="s">
        <v>1671</v>
      </c>
      <c r="P2">
        <f>CORREL(D:D,H:H)</f>
        <v>-0.24014769966517716</v>
      </c>
      <c r="Q2">
        <v>0.1</v>
      </c>
    </row>
    <row r="3" spans="1:17" ht="20">
      <c r="A3" s="78" t="s">
        <v>2513</v>
      </c>
      <c r="B3" s="78" t="s">
        <v>297</v>
      </c>
      <c r="C3" s="78">
        <v>59</v>
      </c>
      <c r="D3" s="99">
        <f>Table76[[#This Row],[2020]]/C58</f>
        <v>5.5702416918428999E-3</v>
      </c>
      <c r="F3" s="16" t="s">
        <v>2548</v>
      </c>
      <c r="G3" s="17">
        <v>3568</v>
      </c>
      <c r="H3" s="65">
        <f>Table77[[#This Row],[TRUMP VOTES]]/C58</f>
        <v>0.3368580060422961</v>
      </c>
      <c r="I3" s="18">
        <v>0.64300000000000002</v>
      </c>
      <c r="J3" s="17">
        <v>1820</v>
      </c>
      <c r="K3" s="65">
        <f>Table77[[#This Row],[BIDEN VOTES]]/C58</f>
        <v>0.17182779456193353</v>
      </c>
      <c r="L3" s="18">
        <v>0.32800000000000001</v>
      </c>
      <c r="M3" s="65">
        <f>1-(Table77[[#This Row],[NbP]]+Table77[[#This Row],[NbP2]])</f>
        <v>0.49131419939577037</v>
      </c>
      <c r="O3" t="s">
        <v>1672</v>
      </c>
      <c r="P3" s="37">
        <f>CORREL(D:D,K:K)</f>
        <v>0.18038926624389681</v>
      </c>
      <c r="Q3" s="1">
        <v>0.1</v>
      </c>
    </row>
    <row r="4" spans="1:17" ht="20">
      <c r="A4" s="78" t="s">
        <v>2514</v>
      </c>
      <c r="B4" s="78" t="s">
        <v>297</v>
      </c>
      <c r="C4" s="78">
        <v>20</v>
      </c>
      <c r="D4" s="99">
        <f>Table76[[#This Row],[2020]]/C59</f>
        <v>2.9154518950437317E-3</v>
      </c>
      <c r="F4" s="16" t="s">
        <v>2549</v>
      </c>
      <c r="G4" s="17">
        <v>1094</v>
      </c>
      <c r="H4" s="65">
        <f>Table77[[#This Row],[TRUMP VOTES]]/C59</f>
        <v>0.15947521865889214</v>
      </c>
      <c r="I4" s="18">
        <v>0.56000000000000005</v>
      </c>
      <c r="J4" s="19">
        <v>822</v>
      </c>
      <c r="K4" s="65">
        <f>Table77[[#This Row],[BIDEN VOTES]]/C59</f>
        <v>0.11982507288629737</v>
      </c>
      <c r="L4" s="18">
        <v>0.42</v>
      </c>
      <c r="M4" s="65">
        <f>1-(Table77[[#This Row],[NbP]]+Table77[[#This Row],[NbP2]])</f>
        <v>0.72069970845481046</v>
      </c>
      <c r="O4" t="s">
        <v>1679</v>
      </c>
      <c r="P4" s="37">
        <f>CORREL(D:D,M:M)</f>
        <v>0.20342793915482929</v>
      </c>
      <c r="Q4" s="1">
        <v>0.1</v>
      </c>
    </row>
    <row r="5" spans="1:17" ht="20">
      <c r="A5" s="78" t="s">
        <v>2515</v>
      </c>
      <c r="B5" s="78" t="s">
        <v>297</v>
      </c>
      <c r="C5" s="78">
        <v>0</v>
      </c>
      <c r="D5" s="99">
        <f>Table76[[#This Row],[2020]]/C60</f>
        <v>0</v>
      </c>
      <c r="F5" s="16" t="s">
        <v>2550</v>
      </c>
      <c r="G5" s="19">
        <v>541</v>
      </c>
      <c r="H5" s="65">
        <f>Table77[[#This Row],[TRUMP VOTES]]/C60</f>
        <v>0.6106094808126411</v>
      </c>
      <c r="I5" s="18">
        <v>0.85299999999999998</v>
      </c>
      <c r="J5" s="19">
        <v>72</v>
      </c>
      <c r="K5" s="65">
        <f>Table77[[#This Row],[BIDEN VOTES]]/C60</f>
        <v>8.1264108352144468E-2</v>
      </c>
      <c r="L5" s="18">
        <v>0.114</v>
      </c>
      <c r="M5" s="65">
        <f>1-(Table77[[#This Row],[NbP]]+Table77[[#This Row],[NbP2]])</f>
        <v>0.30812641083521441</v>
      </c>
    </row>
    <row r="6" spans="1:17" ht="20">
      <c r="A6" s="78" t="s">
        <v>2516</v>
      </c>
      <c r="B6" s="78" t="s">
        <v>297</v>
      </c>
      <c r="C6" s="78">
        <v>23</v>
      </c>
      <c r="D6" s="99">
        <f>Table76[[#This Row],[2020]]/C61</f>
        <v>3.5836709255219696E-3</v>
      </c>
      <c r="F6" s="16" t="s">
        <v>2551</v>
      </c>
      <c r="G6" s="17">
        <v>2575</v>
      </c>
      <c r="H6" s="65">
        <f>Table77[[#This Row],[TRUMP VOTES]]/C61</f>
        <v>0.40121533187909009</v>
      </c>
      <c r="I6" s="18">
        <v>0.74399999999999999</v>
      </c>
      <c r="J6" s="19">
        <v>821</v>
      </c>
      <c r="K6" s="65">
        <f>Table77[[#This Row],[BIDEN VOTES]]/C61</f>
        <v>0.12792147086319725</v>
      </c>
      <c r="L6" s="18">
        <v>0.23699999999999999</v>
      </c>
      <c r="M6" s="65">
        <f>1-(Table77[[#This Row],[NbP]]+Table77[[#This Row],[NbP2]])</f>
        <v>0.47086319725771264</v>
      </c>
    </row>
    <row r="7" spans="1:17" ht="20">
      <c r="A7" s="78" t="s">
        <v>2517</v>
      </c>
      <c r="B7" s="78" t="s">
        <v>297</v>
      </c>
      <c r="C7" s="78">
        <v>9</v>
      </c>
      <c r="D7" s="99">
        <f>Table76[[#This Row],[2020]]/C62</f>
        <v>2.9116790682626984E-3</v>
      </c>
      <c r="F7" s="16" t="s">
        <v>2552</v>
      </c>
      <c r="G7" s="17">
        <v>1395</v>
      </c>
      <c r="H7" s="65">
        <f>Table77[[#This Row],[TRUMP VOTES]]/C62</f>
        <v>0.45131025558071819</v>
      </c>
      <c r="I7" s="18">
        <v>0.84399999999999997</v>
      </c>
      <c r="J7" s="19">
        <v>228</v>
      </c>
      <c r="K7" s="65">
        <f>Table77[[#This Row],[BIDEN VOTES]]/C62</f>
        <v>7.3762536395988357E-2</v>
      </c>
      <c r="L7" s="18">
        <v>0.13800000000000001</v>
      </c>
      <c r="M7" s="65">
        <f>1-(Table77[[#This Row],[NbP]]+Table77[[#This Row],[NbP2]])</f>
        <v>0.47492720802329347</v>
      </c>
    </row>
    <row r="8" spans="1:17" ht="20">
      <c r="A8" s="78" t="s">
        <v>1223</v>
      </c>
      <c r="B8" s="78" t="s">
        <v>297</v>
      </c>
      <c r="C8" s="78">
        <v>0</v>
      </c>
      <c r="D8" s="99">
        <f>Table76[[#This Row],[2020]]/C63</f>
        <v>0</v>
      </c>
      <c r="F8" s="16" t="s">
        <v>1317</v>
      </c>
      <c r="G8" s="19">
        <v>994</v>
      </c>
      <c r="H8" s="65">
        <f>Table77[[#This Row],[TRUMP VOTES]]/C63</f>
        <v>0.46405228758169936</v>
      </c>
      <c r="I8" s="18">
        <v>0.86399999999999999</v>
      </c>
      <c r="J8" s="19">
        <v>137</v>
      </c>
      <c r="K8" s="65">
        <f>Table77[[#This Row],[BIDEN VOTES]]/C63</f>
        <v>6.3958916900093365E-2</v>
      </c>
      <c r="L8" s="18">
        <v>0.11899999999999999</v>
      </c>
      <c r="M8" s="65">
        <f>1-(Table77[[#This Row],[NbP]]+Table77[[#This Row],[NbP2]])</f>
        <v>0.47198879551820727</v>
      </c>
    </row>
    <row r="9" spans="1:17" ht="20">
      <c r="A9" s="78" t="s">
        <v>2518</v>
      </c>
      <c r="B9" s="78" t="s">
        <v>297</v>
      </c>
      <c r="C9" s="78">
        <v>406</v>
      </c>
      <c r="D9" s="99">
        <f>Table76[[#This Row],[2020]]/C64</f>
        <v>4.2509082913652118E-3</v>
      </c>
      <c r="F9" s="16" t="s">
        <v>2553</v>
      </c>
      <c r="G9" s="17">
        <v>34744</v>
      </c>
      <c r="H9" s="65">
        <f>Table77[[#This Row],[TRUMP VOTES]]/C64</f>
        <v>0.36377723565318454</v>
      </c>
      <c r="I9" s="18">
        <v>0.68899999999999995</v>
      </c>
      <c r="J9" s="17">
        <v>14348</v>
      </c>
      <c r="K9" s="65">
        <f>Table77[[#This Row],[BIDEN VOTES]]/C64</f>
        <v>0.15022668020814792</v>
      </c>
      <c r="L9" s="18">
        <v>0.28399999999999997</v>
      </c>
      <c r="M9" s="65">
        <f>1-(Table77[[#This Row],[NbP]]+Table77[[#This Row],[NbP2]])</f>
        <v>0.48599608413866757</v>
      </c>
    </row>
    <row r="10" spans="1:17" ht="20">
      <c r="A10" s="78" t="s">
        <v>591</v>
      </c>
      <c r="B10" s="78" t="s">
        <v>297</v>
      </c>
      <c r="C10" s="78">
        <v>648</v>
      </c>
      <c r="D10" s="99">
        <f>Table76[[#This Row],[2020]]/C65</f>
        <v>3.601260441154404E-3</v>
      </c>
      <c r="F10" s="16" t="s">
        <v>363</v>
      </c>
      <c r="G10" s="17">
        <v>42619</v>
      </c>
      <c r="H10" s="65">
        <f>Table77[[#This Row],[TRUMP VOTES]]/C65</f>
        <v>0.23685512151475238</v>
      </c>
      <c r="I10" s="18">
        <v>0.499</v>
      </c>
      <c r="J10" s="17">
        <v>40311</v>
      </c>
      <c r="K10" s="65">
        <f>Table77[[#This Row],[BIDEN VOTES]]/C65</f>
        <v>0.22402840994348022</v>
      </c>
      <c r="L10" s="18">
        <v>0.47199999999999998</v>
      </c>
      <c r="M10" s="65">
        <f>1-(Table77[[#This Row],[NbP]]+Table77[[#This Row],[NbP2]])</f>
        <v>0.53911646854176742</v>
      </c>
    </row>
    <row r="11" spans="1:17" ht="20">
      <c r="A11" s="78" t="s">
        <v>2519</v>
      </c>
      <c r="B11" s="78" t="s">
        <v>297</v>
      </c>
      <c r="C11" s="78">
        <v>0</v>
      </c>
      <c r="D11" s="99">
        <f>Table76[[#This Row],[2020]]/C66</f>
        <v>0</v>
      </c>
      <c r="F11" s="16" t="s">
        <v>2554</v>
      </c>
      <c r="G11" s="17">
        <v>1499</v>
      </c>
      <c r="H11" s="65">
        <f>Table77[[#This Row],[TRUMP VOTES]]/C66</f>
        <v>0.39771822764659059</v>
      </c>
      <c r="I11" s="18">
        <v>0.745</v>
      </c>
      <c r="J11" s="19">
        <v>474</v>
      </c>
      <c r="K11" s="65">
        <f>Table77[[#This Row],[BIDEN VOTES]]/C66</f>
        <v>0.12576280180419208</v>
      </c>
      <c r="L11" s="18">
        <v>0.23499999999999999</v>
      </c>
      <c r="M11" s="65">
        <f>1-(Table77[[#This Row],[NbP]]+Table77[[#This Row],[NbP2]])</f>
        <v>0.47651897054921732</v>
      </c>
    </row>
    <row r="12" spans="1:17" ht="20">
      <c r="A12" s="78" t="s">
        <v>2520</v>
      </c>
      <c r="B12" s="78" t="s">
        <v>297</v>
      </c>
      <c r="C12" s="78">
        <v>22</v>
      </c>
      <c r="D12" s="99">
        <f>Table76[[#This Row],[2020]]/C67</f>
        <v>4.5295449866172531E-3</v>
      </c>
      <c r="F12" s="16" t="s">
        <v>2555</v>
      </c>
      <c r="G12" s="17">
        <v>1742</v>
      </c>
      <c r="H12" s="65">
        <f>Table77[[#This Row],[TRUMP VOTES]]/C67</f>
        <v>0.3586576075766934</v>
      </c>
      <c r="I12" s="18">
        <v>0.72199999999999998</v>
      </c>
      <c r="J12" s="19">
        <v>608</v>
      </c>
      <c r="K12" s="65">
        <f>Table77[[#This Row],[BIDEN VOTES]]/C67</f>
        <v>0.12518015235742228</v>
      </c>
      <c r="L12" s="18">
        <v>0.252</v>
      </c>
      <c r="M12" s="65">
        <f>1-(Table77[[#This Row],[NbP]]+Table77[[#This Row],[NbP2]])</f>
        <v>0.51616224006588429</v>
      </c>
    </row>
    <row r="13" spans="1:17" ht="20">
      <c r="A13" s="78" t="s">
        <v>2521</v>
      </c>
      <c r="B13" s="78" t="s">
        <v>297</v>
      </c>
      <c r="C13" s="78">
        <v>9</v>
      </c>
      <c r="D13" s="99">
        <f>Table76[[#This Row],[2020]]/C68</f>
        <v>3.9318479685452159E-3</v>
      </c>
      <c r="F13" s="16" t="s">
        <v>2556</v>
      </c>
      <c r="G13" s="19">
        <v>904</v>
      </c>
      <c r="H13" s="65">
        <f>Table77[[#This Row],[TRUMP VOTES]]/C68</f>
        <v>0.39493228484054171</v>
      </c>
      <c r="I13" s="18">
        <v>0.754</v>
      </c>
      <c r="J13" s="19">
        <v>265</v>
      </c>
      <c r="K13" s="65">
        <f>Table77[[#This Row],[BIDEN VOTES]]/C68</f>
        <v>0.11577107907383137</v>
      </c>
      <c r="L13" s="18">
        <v>0.221</v>
      </c>
      <c r="M13" s="65">
        <f>1-(Table77[[#This Row],[NbP]]+Table77[[#This Row],[NbP2]])</f>
        <v>0.4892966360856269</v>
      </c>
    </row>
    <row r="14" spans="1:17" ht="20">
      <c r="A14" s="78" t="s">
        <v>2522</v>
      </c>
      <c r="B14" s="78" t="s">
        <v>297</v>
      </c>
      <c r="C14" s="78">
        <v>30</v>
      </c>
      <c r="D14" s="99">
        <f>Table76[[#This Row],[2020]]/C69</f>
        <v>6.8775790921595595E-3</v>
      </c>
      <c r="F14" s="16" t="s">
        <v>2557</v>
      </c>
      <c r="G14" s="17">
        <v>1951</v>
      </c>
      <c r="H14" s="65">
        <f>Table77[[#This Row],[TRUMP VOTES]]/C69</f>
        <v>0.44727189362677672</v>
      </c>
      <c r="I14" s="18">
        <v>0.83699999999999997</v>
      </c>
      <c r="J14" s="19">
        <v>342</v>
      </c>
      <c r="K14" s="65">
        <f>Table77[[#This Row],[BIDEN VOTES]]/C69</f>
        <v>7.8404401650618988E-2</v>
      </c>
      <c r="L14" s="18">
        <v>0.14699999999999999</v>
      </c>
      <c r="M14" s="65">
        <f>1-(Table77[[#This Row],[NbP]]+Table77[[#This Row],[NbP2]])</f>
        <v>0.47432370472260432</v>
      </c>
    </row>
    <row r="15" spans="1:17" ht="20">
      <c r="A15" s="78" t="s">
        <v>2317</v>
      </c>
      <c r="B15" s="78" t="s">
        <v>297</v>
      </c>
      <c r="C15" s="78">
        <v>15</v>
      </c>
      <c r="D15" s="99">
        <f>Table76[[#This Row],[2020]]/C70</f>
        <v>6.6312997347480109E-3</v>
      </c>
      <c r="F15" s="16" t="s">
        <v>2340</v>
      </c>
      <c r="G15" s="19">
        <v>854</v>
      </c>
      <c r="H15" s="65">
        <f>Table77[[#This Row],[TRUMP VOTES]]/C70</f>
        <v>0.37754199823165341</v>
      </c>
      <c r="I15" s="18">
        <v>0.67800000000000005</v>
      </c>
      <c r="J15" s="19">
        <v>383</v>
      </c>
      <c r="K15" s="65">
        <f>Table77[[#This Row],[BIDEN VOTES]]/C70</f>
        <v>0.16931918656056588</v>
      </c>
      <c r="L15" s="18">
        <v>0.30399999999999999</v>
      </c>
      <c r="M15" s="65">
        <f>1-(Table77[[#This Row],[NbP]]+Table77[[#This Row],[NbP2]])</f>
        <v>0.45313881520778065</v>
      </c>
    </row>
    <row r="16" spans="1:17" ht="20">
      <c r="A16" s="78" t="s">
        <v>2523</v>
      </c>
      <c r="B16" s="78" t="s">
        <v>297</v>
      </c>
      <c r="C16" s="78">
        <v>9</v>
      </c>
      <c r="D16" s="99">
        <f>Table76[[#This Row],[2020]]/C71</f>
        <v>2.7590435315757206E-3</v>
      </c>
      <c r="F16" s="16" t="s">
        <v>2558</v>
      </c>
      <c r="G16" s="17">
        <v>1738</v>
      </c>
      <c r="H16" s="65">
        <f>Table77[[#This Row],[TRUMP VOTES]]/C71</f>
        <v>0.53280196198651131</v>
      </c>
      <c r="I16" s="18">
        <v>0.86799999999999999</v>
      </c>
      <c r="J16" s="19">
        <v>237</v>
      </c>
      <c r="K16" s="65">
        <f>Table77[[#This Row],[BIDEN VOTES]]/C71</f>
        <v>7.2654812998160637E-2</v>
      </c>
      <c r="L16" s="18">
        <v>0.11799999999999999</v>
      </c>
      <c r="M16" s="65">
        <f>1-(Table77[[#This Row],[NbP]]+Table77[[#This Row],[NbP2]])</f>
        <v>0.39454322501532801</v>
      </c>
    </row>
    <row r="17" spans="1:13" ht="20">
      <c r="A17" s="78" t="s">
        <v>2524</v>
      </c>
      <c r="B17" s="78" t="s">
        <v>297</v>
      </c>
      <c r="C17" s="78">
        <v>0</v>
      </c>
      <c r="D17" s="99">
        <f>Table76[[#This Row],[2020]]/C72</f>
        <v>0</v>
      </c>
      <c r="F17" s="16" t="s">
        <v>2559</v>
      </c>
      <c r="G17" s="17">
        <v>1362</v>
      </c>
      <c r="H17" s="65">
        <f>Table77[[#This Row],[TRUMP VOTES]]/C72</f>
        <v>0.42154131847725163</v>
      </c>
      <c r="I17" s="18">
        <v>0.77</v>
      </c>
      <c r="J17" s="19">
        <v>373</v>
      </c>
      <c r="K17" s="65">
        <f>Table77[[#This Row],[BIDEN VOTES]]/C72</f>
        <v>0.11544413494274218</v>
      </c>
      <c r="L17" s="18">
        <v>0.21099999999999999</v>
      </c>
      <c r="M17" s="65">
        <f>1-(Table77[[#This Row],[NbP]]+Table77[[#This Row],[NbP2]])</f>
        <v>0.46301454658000618</v>
      </c>
    </row>
    <row r="18" spans="1:13" ht="20">
      <c r="A18" s="78" t="s">
        <v>2525</v>
      </c>
      <c r="B18" s="78" t="s">
        <v>297</v>
      </c>
      <c r="C18" s="78">
        <v>0</v>
      </c>
      <c r="D18" s="99">
        <f>Table76[[#This Row],[2020]]/C73</f>
        <v>0</v>
      </c>
      <c r="F18" s="16" t="s">
        <v>2560</v>
      </c>
      <c r="G18" s="19">
        <v>871</v>
      </c>
      <c r="H18" s="65">
        <f>Table77[[#This Row],[TRUMP VOTES]]/C73</f>
        <v>0.48496659242761692</v>
      </c>
      <c r="I18" s="18">
        <v>0.85099999999999998</v>
      </c>
      <c r="J18" s="19">
        <v>137</v>
      </c>
      <c r="K18" s="65">
        <f>Table77[[#This Row],[BIDEN VOTES]]/C73</f>
        <v>7.6280623608017822E-2</v>
      </c>
      <c r="L18" s="18">
        <v>0.13400000000000001</v>
      </c>
      <c r="M18" s="65">
        <f>1-(Table77[[#This Row],[NbP]]+Table77[[#This Row],[NbP2]])</f>
        <v>0.43875278396436523</v>
      </c>
    </row>
    <row r="19" spans="1:13" ht="20">
      <c r="A19" s="78" t="s">
        <v>2526</v>
      </c>
      <c r="B19" s="78" t="s">
        <v>297</v>
      </c>
      <c r="C19" s="78">
        <v>345</v>
      </c>
      <c r="D19" s="99">
        <f>Table76[[#This Row],[2020]]/C74</f>
        <v>4.9115214327406292E-3</v>
      </c>
      <c r="F19" s="16" t="s">
        <v>2561</v>
      </c>
      <c r="G19" s="17">
        <v>16987</v>
      </c>
      <c r="H19" s="65">
        <f>Table77[[#This Row],[TRUMP VOTES]]/C74</f>
        <v>0.2418319263129422</v>
      </c>
      <c r="I19" s="18">
        <v>0.55300000000000005</v>
      </c>
      <c r="J19" s="17">
        <v>12880</v>
      </c>
      <c r="K19" s="65">
        <f>Table77[[#This Row],[BIDEN VOTES]]/C74</f>
        <v>0.1833634668223168</v>
      </c>
      <c r="L19" s="18">
        <v>0.41899999999999998</v>
      </c>
      <c r="M19" s="65">
        <f>1-(Table77[[#This Row],[NbP]]+Table77[[#This Row],[NbP2]])</f>
        <v>0.574804606864741</v>
      </c>
    </row>
    <row r="20" spans="1:13" ht="20">
      <c r="A20" s="78" t="s">
        <v>313</v>
      </c>
      <c r="B20" s="78" t="s">
        <v>297</v>
      </c>
      <c r="C20" s="78">
        <v>0</v>
      </c>
      <c r="D20" s="99">
        <f>Table76[[#This Row],[2020]]/C75</f>
        <v>0</v>
      </c>
      <c r="F20" s="16" t="s">
        <v>278</v>
      </c>
      <c r="G20" s="17">
        <v>1145</v>
      </c>
      <c r="H20" s="65">
        <f>Table77[[#This Row],[TRUMP VOTES]]/C75</f>
        <v>0.49396031061259704</v>
      </c>
      <c r="I20" s="18">
        <v>0.83</v>
      </c>
      <c r="J20" s="19">
        <v>207</v>
      </c>
      <c r="K20" s="65">
        <f>Table77[[#This Row],[BIDEN VOTES]]/C75</f>
        <v>8.9301121656600521E-2</v>
      </c>
      <c r="L20" s="18">
        <v>0.15</v>
      </c>
      <c r="M20" s="65">
        <f>1-(Table77[[#This Row],[NbP]]+Table77[[#This Row],[NbP2]])</f>
        <v>0.41673856773080242</v>
      </c>
    </row>
    <row r="21" spans="1:13" ht="20">
      <c r="A21" s="78" t="s">
        <v>2527</v>
      </c>
      <c r="B21" s="78" t="s">
        <v>297</v>
      </c>
      <c r="C21" s="78">
        <v>17</v>
      </c>
      <c r="D21" s="99">
        <f>Table76[[#This Row],[2020]]/C76</f>
        <v>7.3465859982713919E-3</v>
      </c>
      <c r="F21" s="16" t="s">
        <v>2562</v>
      </c>
      <c r="G21" s="19">
        <v>907</v>
      </c>
      <c r="H21" s="65">
        <f>Table77[[#This Row],[TRUMP VOTES]]/C76</f>
        <v>0.39196197061365601</v>
      </c>
      <c r="I21" s="18">
        <v>0.72599999999999998</v>
      </c>
      <c r="J21" s="19">
        <v>308</v>
      </c>
      <c r="K21" s="65">
        <f>Table77[[#This Row],[BIDEN VOTES]]/C76</f>
        <v>0.1331028522039758</v>
      </c>
      <c r="L21" s="18">
        <v>0.247</v>
      </c>
      <c r="M21" s="65">
        <f>1-(Table77[[#This Row],[NbP]]+Table77[[#This Row],[NbP2]])</f>
        <v>0.47493517718236822</v>
      </c>
    </row>
    <row r="22" spans="1:13" ht="20">
      <c r="A22" s="78" t="s">
        <v>2528</v>
      </c>
      <c r="B22" s="78" t="s">
        <v>297</v>
      </c>
      <c r="C22" s="78">
        <v>0</v>
      </c>
      <c r="D22" s="99">
        <f>Table76[[#This Row],[2020]]/C77</f>
        <v>0</v>
      </c>
      <c r="F22" s="16" t="s">
        <v>2563</v>
      </c>
      <c r="G22" s="17">
        <v>1091</v>
      </c>
      <c r="H22" s="65">
        <f>Table77[[#This Row],[TRUMP VOTES]]/C77</f>
        <v>0.43466135458167332</v>
      </c>
      <c r="I22" s="18">
        <v>0.83299999999999996</v>
      </c>
      <c r="J22" s="19">
        <v>196</v>
      </c>
      <c r="K22" s="65">
        <f>Table77[[#This Row],[BIDEN VOTES]]/C77</f>
        <v>7.8087649402390436E-2</v>
      </c>
      <c r="L22" s="18">
        <v>0.15</v>
      </c>
      <c r="M22" s="65">
        <f>1-(Table77[[#This Row],[NbP]]+Table77[[#This Row],[NbP2]])</f>
        <v>0.48725099601593624</v>
      </c>
    </row>
    <row r="23" spans="1:13" ht="20">
      <c r="A23" s="78" t="s">
        <v>2529</v>
      </c>
      <c r="B23" s="78" t="s">
        <v>297</v>
      </c>
      <c r="C23" s="78">
        <v>7</v>
      </c>
      <c r="D23" s="99">
        <f>Table76[[#This Row],[2020]]/C78</f>
        <v>2.8363047001620746E-3</v>
      </c>
      <c r="F23" s="16" t="s">
        <v>2564</v>
      </c>
      <c r="G23" s="17">
        <v>1215</v>
      </c>
      <c r="H23" s="65">
        <f>Table77[[#This Row],[TRUMP VOTES]]/C78</f>
        <v>0.49230145867098868</v>
      </c>
      <c r="I23" s="18">
        <v>0.83299999999999996</v>
      </c>
      <c r="J23" s="19">
        <v>221</v>
      </c>
      <c r="K23" s="65">
        <f>Table77[[#This Row],[BIDEN VOTES]]/C78</f>
        <v>8.9546191247974069E-2</v>
      </c>
      <c r="L23" s="18">
        <v>0.152</v>
      </c>
      <c r="M23" s="65">
        <f>1-(Table77[[#This Row],[NbP]]+Table77[[#This Row],[NbP2]])</f>
        <v>0.41815235008103724</v>
      </c>
    </row>
    <row r="24" spans="1:13" ht="20">
      <c r="A24" s="78" t="s">
        <v>2530</v>
      </c>
      <c r="B24" s="78" t="s">
        <v>297</v>
      </c>
      <c r="C24" s="78">
        <v>11</v>
      </c>
      <c r="D24" s="99">
        <f>Table76[[#This Row],[2020]]/C79</f>
        <v>2.6035502958579883E-3</v>
      </c>
      <c r="F24" s="16" t="s">
        <v>2565</v>
      </c>
      <c r="G24" s="17">
        <v>1645</v>
      </c>
      <c r="H24" s="65">
        <f>Table77[[#This Row],[TRUMP VOTES]]/C79</f>
        <v>0.38934911242603548</v>
      </c>
      <c r="I24" s="18">
        <v>0.74199999999999999</v>
      </c>
      <c r="J24" s="19">
        <v>527</v>
      </c>
      <c r="K24" s="65">
        <f>Table77[[#This Row],[BIDEN VOTES]]/C79</f>
        <v>0.12473372781065088</v>
      </c>
      <c r="L24" s="18">
        <v>0.23799999999999999</v>
      </c>
      <c r="M24" s="65">
        <f>1-(Table77[[#This Row],[NbP]]+Table77[[#This Row],[NbP2]])</f>
        <v>0.48591715976331362</v>
      </c>
    </row>
    <row r="25" spans="1:13" ht="20">
      <c r="A25" s="78" t="s">
        <v>869</v>
      </c>
      <c r="B25" s="78" t="s">
        <v>297</v>
      </c>
      <c r="C25" s="78">
        <v>0</v>
      </c>
      <c r="D25" s="99">
        <f>Table76[[#This Row],[2020]]/C80</f>
        <v>0</v>
      </c>
      <c r="F25" s="16" t="s">
        <v>837</v>
      </c>
      <c r="G25" s="19">
        <v>930</v>
      </c>
      <c r="H25" s="65">
        <f>Table77[[#This Row],[TRUMP VOTES]]/C80</f>
        <v>0.53356282271944921</v>
      </c>
      <c r="I25" s="18">
        <v>0.86799999999999999</v>
      </c>
      <c r="J25" s="19">
        <v>128</v>
      </c>
      <c r="K25" s="65">
        <f>Table77[[#This Row],[BIDEN VOTES]]/C80</f>
        <v>7.3436603557085478E-2</v>
      </c>
      <c r="L25" s="18">
        <v>0.11899999999999999</v>
      </c>
      <c r="M25" s="65">
        <f>1-(Table77[[#This Row],[NbP]]+Table77[[#This Row],[NbP2]])</f>
        <v>0.39300057372346531</v>
      </c>
    </row>
    <row r="26" spans="1:13" ht="20">
      <c r="A26" s="78" t="s">
        <v>2531</v>
      </c>
      <c r="B26" s="78" t="s">
        <v>297</v>
      </c>
      <c r="C26" s="78">
        <v>26</v>
      </c>
      <c r="D26" s="99">
        <f>Table76[[#This Row],[2020]]/C81</f>
        <v>4.4635193133047207E-3</v>
      </c>
      <c r="F26" s="16" t="s">
        <v>2566</v>
      </c>
      <c r="G26" s="17">
        <v>2364</v>
      </c>
      <c r="H26" s="65">
        <f>Table77[[#This Row],[TRUMP VOTES]]/C81</f>
        <v>0.40583690987124466</v>
      </c>
      <c r="I26" s="18">
        <v>0.78900000000000003</v>
      </c>
      <c r="J26" s="19">
        <v>564</v>
      </c>
      <c r="K26" s="65">
        <f>Table77[[#This Row],[BIDEN VOTES]]/C81</f>
        <v>9.6824034334763942E-2</v>
      </c>
      <c r="L26" s="18">
        <v>0.188</v>
      </c>
      <c r="M26" s="65">
        <f>1-(Table77[[#This Row],[NbP]]+Table77[[#This Row],[NbP2]])</f>
        <v>0.4973390557939914</v>
      </c>
    </row>
    <row r="27" spans="1:13" ht="20">
      <c r="A27" s="78" t="s">
        <v>1267</v>
      </c>
      <c r="B27" s="78" t="s">
        <v>297</v>
      </c>
      <c r="C27" s="78">
        <v>12</v>
      </c>
      <c r="D27" s="99">
        <f>Table76[[#This Row],[2020]]/C82</f>
        <v>4.7337278106508876E-3</v>
      </c>
      <c r="F27" s="16" t="s">
        <v>1360</v>
      </c>
      <c r="G27" s="17">
        <v>1153</v>
      </c>
      <c r="H27" s="65">
        <f>Table77[[#This Row],[TRUMP VOTES]]/C82</f>
        <v>0.45483234714003945</v>
      </c>
      <c r="I27" s="18">
        <v>0.79800000000000004</v>
      </c>
      <c r="J27" s="19">
        <v>261</v>
      </c>
      <c r="K27" s="65">
        <f>Table77[[#This Row],[BIDEN VOTES]]/C82</f>
        <v>0.10295857988165681</v>
      </c>
      <c r="L27" s="18">
        <v>0.18099999999999999</v>
      </c>
      <c r="M27" s="65">
        <f>1-(Table77[[#This Row],[NbP]]+Table77[[#This Row],[NbP2]])</f>
        <v>0.4422090729783037</v>
      </c>
    </row>
    <row r="28" spans="1:13" ht="20">
      <c r="A28" s="78" t="s">
        <v>2532</v>
      </c>
      <c r="B28" s="78" t="s">
        <v>297</v>
      </c>
      <c r="C28" s="78">
        <v>69</v>
      </c>
      <c r="D28" s="99">
        <f>Table76[[#This Row],[2020]]/C83</f>
        <v>4.9869904596704252E-3</v>
      </c>
      <c r="F28" s="16" t="s">
        <v>2567</v>
      </c>
      <c r="G28" s="17">
        <v>4482</v>
      </c>
      <c r="H28" s="65">
        <f>Table77[[#This Row],[TRUMP VOTES]]/C83</f>
        <v>0.32393755420641807</v>
      </c>
      <c r="I28" s="18">
        <v>0.82899999999999996</v>
      </c>
      <c r="J28" s="19">
        <v>814</v>
      </c>
      <c r="K28" s="65">
        <f>Table77[[#This Row],[BIDEN VOTES]]/C83</f>
        <v>5.8832032379300375E-2</v>
      </c>
      <c r="L28" s="18">
        <v>0.151</v>
      </c>
      <c r="M28" s="65">
        <f>1-(Table77[[#This Row],[NbP]]+Table77[[#This Row],[NbP2]])</f>
        <v>0.61723041341428153</v>
      </c>
    </row>
    <row r="29" spans="1:13" ht="20">
      <c r="A29" s="78" t="s">
        <v>1400</v>
      </c>
      <c r="B29" s="78" t="s">
        <v>297</v>
      </c>
      <c r="C29" s="78">
        <v>62</v>
      </c>
      <c r="D29" s="99">
        <f>Table76[[#This Row],[2020]]/C84</f>
        <v>6.5050886580631621E-3</v>
      </c>
      <c r="F29" s="16" t="s">
        <v>1408</v>
      </c>
      <c r="G29" s="17">
        <v>4198</v>
      </c>
      <c r="H29" s="65">
        <f>Table77[[#This Row],[TRUMP VOTES]]/C84</f>
        <v>0.44045745462176056</v>
      </c>
      <c r="I29" s="18">
        <v>0.76</v>
      </c>
      <c r="J29" s="17">
        <v>1230</v>
      </c>
      <c r="K29" s="65">
        <f>Table77[[#This Row],[BIDEN VOTES]]/C84</f>
        <v>0.12905256531318854</v>
      </c>
      <c r="L29" s="18">
        <v>0.223</v>
      </c>
      <c r="M29" s="65">
        <f>1-(Table77[[#This Row],[NbP]]+Table77[[#This Row],[NbP2]])</f>
        <v>0.4304899800650509</v>
      </c>
    </row>
    <row r="30" spans="1:13" ht="20">
      <c r="A30" s="78" t="s">
        <v>812</v>
      </c>
      <c r="B30" s="78" t="s">
        <v>297</v>
      </c>
      <c r="C30" s="78">
        <v>0</v>
      </c>
      <c r="D30" s="99">
        <f>Table76[[#This Row],[2020]]/C85</f>
        <v>0</v>
      </c>
      <c r="F30" s="16" t="s">
        <v>794</v>
      </c>
      <c r="G30" s="17">
        <v>3856</v>
      </c>
      <c r="H30" s="65">
        <f>Table77[[#This Row],[TRUMP VOTES]]/C85</f>
        <v>0.46129919846871636</v>
      </c>
      <c r="I30" s="18">
        <v>0.82699999999999996</v>
      </c>
      <c r="J30" s="19">
        <v>704</v>
      </c>
      <c r="K30" s="65">
        <f>Table77[[#This Row],[BIDEN VOTES]]/C85</f>
        <v>8.4220600550305058E-2</v>
      </c>
      <c r="L30" s="18">
        <v>0.151</v>
      </c>
      <c r="M30" s="65">
        <f>1-(Table77[[#This Row],[NbP]]+Table77[[#This Row],[NbP2]])</f>
        <v>0.45448020098097852</v>
      </c>
    </row>
    <row r="31" spans="1:13" ht="20">
      <c r="A31" s="78" t="s">
        <v>2533</v>
      </c>
      <c r="B31" s="78" t="s">
        <v>297</v>
      </c>
      <c r="C31" s="78">
        <v>184</v>
      </c>
      <c r="D31" s="99">
        <f>Table76[[#This Row],[2020]]/C86</f>
        <v>5.9129764123658337E-3</v>
      </c>
      <c r="F31" s="16" t="s">
        <v>2568</v>
      </c>
      <c r="G31" s="17">
        <v>12243</v>
      </c>
      <c r="H31" s="65">
        <f>Table77[[#This Row],[TRUMP VOTES]]/C86</f>
        <v>0.39343788161192877</v>
      </c>
      <c r="I31" s="18">
        <v>0.74</v>
      </c>
      <c r="J31" s="17">
        <v>3872</v>
      </c>
      <c r="K31" s="65">
        <f>Table77[[#This Row],[BIDEN VOTES]]/C86</f>
        <v>0.12442959059065492</v>
      </c>
      <c r="L31" s="18">
        <v>0.23400000000000001</v>
      </c>
      <c r="M31" s="65">
        <f>1-(Table77[[#This Row],[NbP]]+Table77[[#This Row],[NbP2]])</f>
        <v>0.48213252779741633</v>
      </c>
    </row>
    <row r="32" spans="1:13" ht="20">
      <c r="A32" s="78" t="s">
        <v>2534</v>
      </c>
      <c r="B32" s="78" t="s">
        <v>297</v>
      </c>
      <c r="C32" s="78">
        <v>54</v>
      </c>
      <c r="D32" s="99">
        <f>Table76[[#This Row],[2020]]/C87</f>
        <v>5.2183996907614995E-3</v>
      </c>
      <c r="F32" s="16" t="s">
        <v>2569</v>
      </c>
      <c r="G32" s="17">
        <v>2824</v>
      </c>
      <c r="H32" s="65">
        <f>Table77[[#This Row],[TRUMP VOTES]]/C87</f>
        <v>0.27290297642056438</v>
      </c>
      <c r="I32" s="18">
        <v>0.68</v>
      </c>
      <c r="J32" s="17">
        <v>1256</v>
      </c>
      <c r="K32" s="65">
        <f>Table77[[#This Row],[BIDEN VOTES]]/C87</f>
        <v>0.12137611132586007</v>
      </c>
      <c r="L32" s="18">
        <v>0.30199999999999999</v>
      </c>
      <c r="M32" s="65">
        <f>1-(Table77[[#This Row],[NbP]]+Table77[[#This Row],[NbP2]])</f>
        <v>0.60572091225357561</v>
      </c>
    </row>
    <row r="33" spans="1:13" ht="20">
      <c r="A33" s="78" t="s">
        <v>1613</v>
      </c>
      <c r="B33" s="78" t="s">
        <v>297</v>
      </c>
      <c r="C33" s="78">
        <v>15</v>
      </c>
      <c r="D33" s="99">
        <f>Table76[[#This Row],[2020]]/C88</f>
        <v>5.237430167597765E-3</v>
      </c>
      <c r="F33" s="16" t="s">
        <v>1660</v>
      </c>
      <c r="G33" s="17">
        <v>1141</v>
      </c>
      <c r="H33" s="65">
        <f>Table77[[#This Row],[TRUMP VOTES]]/C88</f>
        <v>0.39839385474860334</v>
      </c>
      <c r="I33" s="18">
        <v>0.64500000000000002</v>
      </c>
      <c r="J33" s="19">
        <v>586</v>
      </c>
      <c r="K33" s="65">
        <f>Table77[[#This Row],[BIDEN VOTES]]/C88</f>
        <v>0.20460893854748605</v>
      </c>
      <c r="L33" s="18">
        <v>0.33100000000000002</v>
      </c>
      <c r="M33" s="65">
        <f>1-(Table77[[#This Row],[NbP]]+Table77[[#This Row],[NbP2]])</f>
        <v>0.39699720670391059</v>
      </c>
    </row>
    <row r="34" spans="1:13" ht="20">
      <c r="A34" s="78" t="s">
        <v>2535</v>
      </c>
      <c r="B34" s="78" t="s">
        <v>297</v>
      </c>
      <c r="C34" s="78">
        <v>0</v>
      </c>
      <c r="D34" s="99">
        <f>Table76[[#This Row],[2020]]/C89</f>
        <v>0</v>
      </c>
      <c r="F34" s="16" t="s">
        <v>2570</v>
      </c>
      <c r="G34" s="19">
        <v>918</v>
      </c>
      <c r="H34" s="65">
        <f>Table77[[#This Row],[TRUMP VOTES]]/C89</f>
        <v>0.46788990825688076</v>
      </c>
      <c r="I34" s="18">
        <v>0.86199999999999999</v>
      </c>
      <c r="J34" s="19">
        <v>129</v>
      </c>
      <c r="K34" s="65">
        <f>Table77[[#This Row],[BIDEN VOTES]]/C89</f>
        <v>6.5749235474006115E-2</v>
      </c>
      <c r="L34" s="18">
        <v>0.121</v>
      </c>
      <c r="M34" s="65">
        <f>1-(Table77[[#This Row],[NbP]]+Table77[[#This Row],[NbP2]])</f>
        <v>0.46636085626911317</v>
      </c>
    </row>
    <row r="35" spans="1:13" ht="20">
      <c r="A35" s="78" t="s">
        <v>2536</v>
      </c>
      <c r="B35" s="78" t="s">
        <v>297</v>
      </c>
      <c r="C35" s="78">
        <v>20</v>
      </c>
      <c r="D35" s="99">
        <f>Table76[[#This Row],[2020]]/C90</f>
        <v>2.9197080291970801E-3</v>
      </c>
      <c r="F35" s="16" t="s">
        <v>2571</v>
      </c>
      <c r="G35" s="17">
        <v>2460</v>
      </c>
      <c r="H35" s="65">
        <f>Table77[[#This Row],[TRUMP VOTES]]/C90</f>
        <v>0.35912408759124087</v>
      </c>
      <c r="I35" s="18">
        <v>0.74299999999999999</v>
      </c>
      <c r="J35" s="19">
        <v>786</v>
      </c>
      <c r="K35" s="65">
        <f>Table77[[#This Row],[BIDEN VOTES]]/C90</f>
        <v>0.11474452554744526</v>
      </c>
      <c r="L35" s="18">
        <v>0.23699999999999999</v>
      </c>
      <c r="M35" s="65">
        <f>1-(Table77[[#This Row],[NbP]]+Table77[[#This Row],[NbP2]])</f>
        <v>0.52613138686131389</v>
      </c>
    </row>
    <row r="36" spans="1:13" ht="20">
      <c r="A36" s="78" t="s">
        <v>1276</v>
      </c>
      <c r="B36" s="78" t="s">
        <v>297</v>
      </c>
      <c r="C36" s="78">
        <v>14</v>
      </c>
      <c r="D36" s="99">
        <f>Table76[[#This Row],[2020]]/C91</f>
        <v>3.4474267421817288E-3</v>
      </c>
      <c r="F36" s="16" t="s">
        <v>1369</v>
      </c>
      <c r="G36" s="17">
        <v>1585</v>
      </c>
      <c r="H36" s="65">
        <f>Table77[[#This Row],[TRUMP VOTES]]/C91</f>
        <v>0.39029795616843144</v>
      </c>
      <c r="I36" s="18">
        <v>0.748</v>
      </c>
      <c r="J36" s="19">
        <v>497</v>
      </c>
      <c r="K36" s="65">
        <f>Table77[[#This Row],[BIDEN VOTES]]/C91</f>
        <v>0.12238364934745137</v>
      </c>
      <c r="L36" s="18">
        <v>0.23400000000000001</v>
      </c>
      <c r="M36" s="65">
        <f>1-(Table77[[#This Row],[NbP]]+Table77[[#This Row],[NbP2]])</f>
        <v>0.48731839448411718</v>
      </c>
    </row>
    <row r="37" spans="1:13" ht="20">
      <c r="A37" s="78" t="s">
        <v>1920</v>
      </c>
      <c r="B37" s="78" t="s">
        <v>297</v>
      </c>
      <c r="C37" s="78">
        <v>48</v>
      </c>
      <c r="D37" s="99">
        <f>Table76[[#This Row],[2020]]/C92</f>
        <v>4.1663050082458124E-3</v>
      </c>
      <c r="F37" s="16" t="s">
        <v>1985</v>
      </c>
      <c r="G37" s="17">
        <v>3577</v>
      </c>
      <c r="H37" s="65">
        <f>Table77[[#This Row],[TRUMP VOTES]]/C92</f>
        <v>0.3104765211353181</v>
      </c>
      <c r="I37" s="18">
        <v>0.66900000000000004</v>
      </c>
      <c r="J37" s="17">
        <v>1639</v>
      </c>
      <c r="K37" s="65">
        <f>Table77[[#This Row],[BIDEN VOTES]]/C92</f>
        <v>0.14226195642739345</v>
      </c>
      <c r="L37" s="18">
        <v>0.307</v>
      </c>
      <c r="M37" s="65">
        <f>1-(Table77[[#This Row],[NbP]]+Table77[[#This Row],[NbP2]])</f>
        <v>0.54726152243728843</v>
      </c>
    </row>
    <row r="38" spans="1:13" ht="20">
      <c r="A38" s="78" t="s">
        <v>2537</v>
      </c>
      <c r="B38" s="78" t="s">
        <v>297</v>
      </c>
      <c r="C38" s="78">
        <v>0</v>
      </c>
      <c r="D38" s="99">
        <f>Table76[[#This Row],[2020]]/C93</f>
        <v>0</v>
      </c>
      <c r="F38" s="16" t="s">
        <v>2572</v>
      </c>
      <c r="G38" s="17">
        <v>1418</v>
      </c>
      <c r="H38" s="65">
        <f>Table77[[#This Row],[TRUMP VOTES]]/C93</f>
        <v>0.26968429060479271</v>
      </c>
      <c r="I38" s="18">
        <v>0.57899999999999996</v>
      </c>
      <c r="J38" s="19">
        <v>945</v>
      </c>
      <c r="K38" s="65">
        <f>Table77[[#This Row],[BIDEN VOTES]]/C93</f>
        <v>0.1797261316089768</v>
      </c>
      <c r="L38" s="18">
        <v>0.38600000000000001</v>
      </c>
      <c r="M38" s="65">
        <f>1-(Table77[[#This Row],[NbP]]+Table77[[#This Row],[NbP2]])</f>
        <v>0.55058957778623052</v>
      </c>
    </row>
    <row r="39" spans="1:13" ht="20">
      <c r="A39" s="78" t="s">
        <v>1923</v>
      </c>
      <c r="B39" s="78" t="s">
        <v>297</v>
      </c>
      <c r="C39" s="78">
        <v>0</v>
      </c>
      <c r="D39" s="99">
        <f>Table76[[#This Row],[2020]]/C94</f>
        <v>0</v>
      </c>
      <c r="F39" s="16" t="s">
        <v>1988</v>
      </c>
      <c r="G39" s="17">
        <v>1065</v>
      </c>
      <c r="H39" s="65">
        <f>Table77[[#This Row],[TRUMP VOTES]]/C94</f>
        <v>0.44616673648931715</v>
      </c>
      <c r="I39" s="18">
        <v>0.80900000000000005</v>
      </c>
      <c r="J39" s="19">
        <v>220</v>
      </c>
      <c r="K39" s="65">
        <f>Table77[[#This Row],[BIDEN VOTES]]/C94</f>
        <v>9.2165898617511524E-2</v>
      </c>
      <c r="L39" s="18">
        <v>0.16700000000000001</v>
      </c>
      <c r="M39" s="65">
        <f>1-(Table77[[#This Row],[NbP]]+Table77[[#This Row],[NbP2]])</f>
        <v>0.46166736489317128</v>
      </c>
    </row>
    <row r="40" spans="1:13" ht="20">
      <c r="A40" s="78" t="s">
        <v>2538</v>
      </c>
      <c r="B40" s="78" t="s">
        <v>297</v>
      </c>
      <c r="C40" s="78">
        <v>84</v>
      </c>
      <c r="D40" s="99">
        <f>Table76[[#This Row],[2020]]/C95</f>
        <v>5.1708217913204067E-3</v>
      </c>
      <c r="F40" s="16" t="s">
        <v>2573</v>
      </c>
      <c r="G40" s="17">
        <v>5072</v>
      </c>
      <c r="H40" s="65">
        <f>Table77[[#This Row],[TRUMP VOTES]]/C95</f>
        <v>0.31221914435210835</v>
      </c>
      <c r="I40" s="18">
        <v>0.65300000000000002</v>
      </c>
      <c r="J40" s="17">
        <v>2510</v>
      </c>
      <c r="K40" s="65">
        <f>Table77[[#This Row],[BIDEN VOTES]]/C95</f>
        <v>0.15450907971683595</v>
      </c>
      <c r="L40" s="18">
        <v>0.32300000000000001</v>
      </c>
      <c r="M40" s="65">
        <f>1-(Table77[[#This Row],[NbP]]+Table77[[#This Row],[NbP2]])</f>
        <v>0.53327177593105568</v>
      </c>
    </row>
    <row r="41" spans="1:13" ht="20">
      <c r="A41" s="78" t="s">
        <v>2539</v>
      </c>
      <c r="B41" s="78" t="s">
        <v>297</v>
      </c>
      <c r="C41" s="78">
        <v>29</v>
      </c>
      <c r="D41" s="99">
        <f>Table76[[#This Row],[2020]]/C96</f>
        <v>2.0087275749809518E-3</v>
      </c>
      <c r="F41" s="16" t="s">
        <v>2574</v>
      </c>
      <c r="G41" s="17">
        <v>1257</v>
      </c>
      <c r="H41" s="65">
        <f>Table77[[#This Row],[TRUMP VOTES]]/C96</f>
        <v>8.7067950405208844E-2</v>
      </c>
      <c r="I41" s="18">
        <v>0.33100000000000002</v>
      </c>
      <c r="J41" s="17">
        <v>2482</v>
      </c>
      <c r="K41" s="65">
        <f>Table77[[#This Row],[BIDEN VOTES]]/C96</f>
        <v>0.17191937383112835</v>
      </c>
      <c r="L41" s="18">
        <v>0.65300000000000002</v>
      </c>
      <c r="M41" s="65">
        <f>1-(Table77[[#This Row],[NbP]]+Table77[[#This Row],[NbP2]])</f>
        <v>0.74101267576366281</v>
      </c>
    </row>
    <row r="42" spans="1:13" ht="20">
      <c r="A42" s="78" t="s">
        <v>2540</v>
      </c>
      <c r="B42" s="78" t="s">
        <v>297</v>
      </c>
      <c r="C42" s="78">
        <v>13</v>
      </c>
      <c r="D42" s="99">
        <f>Table76[[#This Row],[2020]]/C97</f>
        <v>3.3341882533983072E-3</v>
      </c>
      <c r="F42" s="16" t="s">
        <v>2575</v>
      </c>
      <c r="G42" s="17">
        <v>1266</v>
      </c>
      <c r="H42" s="65">
        <f>Table77[[#This Row],[TRUMP VOTES]]/C97</f>
        <v>0.32469864067709669</v>
      </c>
      <c r="I42" s="18">
        <v>0.61299999999999999</v>
      </c>
      <c r="J42" s="19">
        <v>738</v>
      </c>
      <c r="K42" s="65">
        <f>Table77[[#This Row],[BIDEN VOTES]]/C97</f>
        <v>0.18927930238522697</v>
      </c>
      <c r="L42" s="18">
        <v>0.35699999999999998</v>
      </c>
      <c r="M42" s="65">
        <f>1-(Table77[[#This Row],[NbP]]+Table77[[#This Row],[NbP2]])</f>
        <v>0.48602205693767631</v>
      </c>
    </row>
    <row r="43" spans="1:13" ht="20">
      <c r="A43" s="78" t="s">
        <v>2219</v>
      </c>
      <c r="B43" s="78" t="s">
        <v>297</v>
      </c>
      <c r="C43" s="78">
        <v>0</v>
      </c>
      <c r="D43" s="99">
        <f>Table76[[#This Row],[2020]]/C98</f>
        <v>0</v>
      </c>
      <c r="F43" s="16" t="s">
        <v>2269</v>
      </c>
      <c r="G43" s="19">
        <v>688</v>
      </c>
      <c r="H43" s="65">
        <f>Table77[[#This Row],[TRUMP VOTES]]/C98</f>
        <v>0.53374709076803728</v>
      </c>
      <c r="I43" s="18">
        <v>0.85099999999999998</v>
      </c>
      <c r="J43" s="19">
        <v>104</v>
      </c>
      <c r="K43" s="65">
        <f>Table77[[#This Row],[BIDEN VOTES]]/C98</f>
        <v>8.0682699767261445E-2</v>
      </c>
      <c r="L43" s="18">
        <v>0.129</v>
      </c>
      <c r="M43" s="65">
        <f>1-(Table77[[#This Row],[NbP]]+Table77[[#This Row],[NbP2]])</f>
        <v>0.38557020946470133</v>
      </c>
    </row>
    <row r="44" spans="1:13" ht="20">
      <c r="A44" s="78" t="s">
        <v>1524</v>
      </c>
      <c r="B44" s="78" t="s">
        <v>297</v>
      </c>
      <c r="C44" s="78">
        <v>0</v>
      </c>
      <c r="D44" s="99">
        <f>Table76[[#This Row],[2020]]/C99</f>
        <v>0</v>
      </c>
      <c r="F44" s="16" t="s">
        <v>1567</v>
      </c>
      <c r="G44" s="19">
        <v>258</v>
      </c>
      <c r="H44" s="65">
        <f>Table77[[#This Row],[TRUMP VOTES]]/C99</f>
        <v>5.9460705231620191E-2</v>
      </c>
      <c r="I44" s="18">
        <v>0.23200000000000001</v>
      </c>
      <c r="J44" s="19">
        <v>804</v>
      </c>
      <c r="K44" s="65">
        <f>Table77[[#This Row],[BIDEN VOTES]]/C99</f>
        <v>0.18529615118690942</v>
      </c>
      <c r="L44" s="18">
        <v>0.72399999999999998</v>
      </c>
      <c r="M44" s="65">
        <f>1-(Table77[[#This Row],[NbP]]+Table77[[#This Row],[NbP2]])</f>
        <v>0.75524314358147038</v>
      </c>
    </row>
    <row r="45" spans="1:13" ht="20">
      <c r="A45" s="78" t="s">
        <v>2541</v>
      </c>
      <c r="B45" s="78" t="s">
        <v>297</v>
      </c>
      <c r="C45" s="78">
        <v>0</v>
      </c>
      <c r="D45" s="99">
        <f>Table76[[#This Row],[2020]]/C100</f>
        <v>0</v>
      </c>
      <c r="F45" s="16" t="s">
        <v>2576</v>
      </c>
      <c r="G45" s="19">
        <v>380</v>
      </c>
      <c r="H45" s="65">
        <f>Table77[[#This Row],[TRUMP VOTES]]/C100</f>
        <v>0.48223350253807107</v>
      </c>
      <c r="I45" s="18">
        <v>0.89200000000000002</v>
      </c>
      <c r="J45" s="19">
        <v>44</v>
      </c>
      <c r="K45" s="65">
        <f>Table77[[#This Row],[BIDEN VOTES]]/C100</f>
        <v>5.5837563451776651E-2</v>
      </c>
      <c r="L45" s="18">
        <v>0.10299999999999999</v>
      </c>
      <c r="M45" s="65">
        <f>1-(Table77[[#This Row],[NbP]]+Table77[[#This Row],[NbP2]])</f>
        <v>0.46192893401015223</v>
      </c>
    </row>
    <row r="46" spans="1:13" ht="20">
      <c r="A46" s="78" t="s">
        <v>2542</v>
      </c>
      <c r="B46" s="78" t="s">
        <v>297</v>
      </c>
      <c r="C46" s="78">
        <v>91</v>
      </c>
      <c r="D46" s="99">
        <f>Table76[[#This Row],[2020]]/C101</f>
        <v>2.9200359389038636E-3</v>
      </c>
      <c r="F46" s="16" t="s">
        <v>2577</v>
      </c>
      <c r="G46" s="17">
        <v>12110</v>
      </c>
      <c r="H46" s="65">
        <f>Table77[[#This Row],[TRUMP VOTES]]/C101</f>
        <v>0.38858939802336029</v>
      </c>
      <c r="I46" s="18">
        <v>0.80700000000000005</v>
      </c>
      <c r="J46" s="17">
        <v>2499</v>
      </c>
      <c r="K46" s="65">
        <f>Table77[[#This Row],[BIDEN VOTES]]/C101</f>
        <v>8.0188679245283015E-2</v>
      </c>
      <c r="L46" s="18">
        <v>0.16700000000000001</v>
      </c>
      <c r="M46" s="65">
        <f>1-(Table77[[#This Row],[NbP]]+Table77[[#This Row],[NbP2]])</f>
        <v>0.53122192273135671</v>
      </c>
    </row>
    <row r="47" spans="1:13" ht="20">
      <c r="A47" s="78" t="s">
        <v>1931</v>
      </c>
      <c r="B47" s="78" t="s">
        <v>297</v>
      </c>
      <c r="C47" s="78">
        <v>0</v>
      </c>
      <c r="D47" s="99">
        <f>Table76[[#This Row],[2020]]/C102</f>
        <v>0</v>
      </c>
      <c r="F47" s="16" t="s">
        <v>1996</v>
      </c>
      <c r="G47" s="19">
        <v>652</v>
      </c>
      <c r="H47" s="65">
        <f>Table77[[#This Row],[TRUMP VOTES]]/C102</f>
        <v>0.35883324160704461</v>
      </c>
      <c r="I47" s="18">
        <v>0.60299999999999998</v>
      </c>
      <c r="J47" s="19">
        <v>392</v>
      </c>
      <c r="K47" s="65">
        <f>Table77[[#This Row],[BIDEN VOTES]]/C102</f>
        <v>0.21574023115024765</v>
      </c>
      <c r="L47" s="18">
        <v>0.36199999999999999</v>
      </c>
      <c r="M47" s="65">
        <f>1-(Table77[[#This Row],[NbP]]+Table77[[#This Row],[NbP2]])</f>
        <v>0.4254265272427078</v>
      </c>
    </row>
    <row r="48" spans="1:13" ht="20">
      <c r="A48" s="78" t="s">
        <v>2543</v>
      </c>
      <c r="B48" s="78" t="s">
        <v>297</v>
      </c>
      <c r="C48" s="78">
        <v>99</v>
      </c>
      <c r="D48" s="99">
        <f>Table76[[#This Row],[2020]]/C103</f>
        <v>4.7416063987738878E-3</v>
      </c>
      <c r="F48" s="16" t="s">
        <v>2578</v>
      </c>
      <c r="G48" s="17">
        <v>6994</v>
      </c>
      <c r="H48" s="65">
        <f>Table77[[#This Row],[TRUMP VOTES]]/C103</f>
        <v>0.33497772881843002</v>
      </c>
      <c r="I48" s="18">
        <v>0.70499999999999996</v>
      </c>
      <c r="J48" s="17">
        <v>2676</v>
      </c>
      <c r="K48" s="65">
        <f>Table77[[#This Row],[BIDEN VOTES]]/C103</f>
        <v>0.12816705780928206</v>
      </c>
      <c r="L48" s="18">
        <v>0.27</v>
      </c>
      <c r="M48" s="65">
        <f>1-(Table77[[#This Row],[NbP]]+Table77[[#This Row],[NbP2]])</f>
        <v>0.53685521337228792</v>
      </c>
    </row>
    <row r="49" spans="1:13" ht="20">
      <c r="A49" s="78" t="s">
        <v>2544</v>
      </c>
      <c r="B49" s="78" t="s">
        <v>297</v>
      </c>
      <c r="C49" s="78">
        <v>0</v>
      </c>
      <c r="D49" s="99">
        <f>Table76[[#This Row],[2020]]/C104</f>
        <v>0</v>
      </c>
      <c r="F49" s="16" t="s">
        <v>2579</v>
      </c>
      <c r="G49" s="19">
        <v>830</v>
      </c>
      <c r="H49" s="65">
        <f>Table77[[#This Row],[TRUMP VOTES]]/C104</f>
        <v>0.37882245549977178</v>
      </c>
      <c r="I49" s="18">
        <v>0.70799999999999996</v>
      </c>
      <c r="J49" s="19">
        <v>317</v>
      </c>
      <c r="K49" s="65">
        <f>Table77[[#This Row],[BIDEN VOTES]]/C104</f>
        <v>0.14468279324509356</v>
      </c>
      <c r="L49" s="18">
        <v>0.27</v>
      </c>
      <c r="M49" s="65">
        <f>1-(Table77[[#This Row],[NbP]]+Table77[[#This Row],[NbP2]])</f>
        <v>0.47649475125513463</v>
      </c>
    </row>
    <row r="50" spans="1:13" ht="20">
      <c r="A50" s="78" t="s">
        <v>2545</v>
      </c>
      <c r="B50" s="78" t="s">
        <v>297</v>
      </c>
      <c r="C50" s="78">
        <v>18</v>
      </c>
      <c r="D50" s="99">
        <f>Table76[[#This Row],[2020]]/C105</f>
        <v>2.2502812851606449E-3</v>
      </c>
      <c r="F50" s="16" t="s">
        <v>2580</v>
      </c>
      <c r="G50" s="17">
        <v>2522</v>
      </c>
      <c r="H50" s="65">
        <f>Table77[[#This Row],[TRUMP VOTES]]/C105</f>
        <v>0.31528941117639703</v>
      </c>
      <c r="I50" s="18">
        <v>0.61099999999999999</v>
      </c>
      <c r="J50" s="17">
        <v>1493</v>
      </c>
      <c r="K50" s="65">
        <f>Table77[[#This Row],[BIDEN VOTES]]/C105</f>
        <v>0.18664833104138018</v>
      </c>
      <c r="L50" s="18">
        <v>0.36199999999999999</v>
      </c>
      <c r="M50" s="65">
        <f>1-(Table77[[#This Row],[NbP]]+Table77[[#This Row],[NbP2]])</f>
        <v>0.49806225778222279</v>
      </c>
    </row>
    <row r="51" spans="1:13" ht="20">
      <c r="A51" s="78" t="s">
        <v>2546</v>
      </c>
      <c r="B51" s="78" t="s">
        <v>297</v>
      </c>
      <c r="C51" s="78">
        <v>29</v>
      </c>
      <c r="D51" s="99">
        <f>Table76[[#This Row],[2020]]/C106</f>
        <v>2.7250516820146588E-3</v>
      </c>
      <c r="F51" s="16" t="s">
        <v>2581</v>
      </c>
      <c r="G51" s="17">
        <v>3324</v>
      </c>
      <c r="H51" s="65">
        <f>Table77[[#This Row],[TRUMP VOTES]]/C106</f>
        <v>0.31234730313850778</v>
      </c>
      <c r="I51" s="18">
        <v>0.69899999999999995</v>
      </c>
      <c r="J51" s="17">
        <v>1333</v>
      </c>
      <c r="K51" s="65">
        <f>Table77[[#This Row],[BIDEN VOTES]]/C106</f>
        <v>0.1252584100732945</v>
      </c>
      <c r="L51" s="18">
        <v>0.28100000000000003</v>
      </c>
      <c r="M51" s="65">
        <f>1-(Table77[[#This Row],[NbP]]+Table77[[#This Row],[NbP2]])</f>
        <v>0.56239428678819769</v>
      </c>
    </row>
    <row r="52" spans="1:13" ht="20">
      <c r="A52" s="78" t="s">
        <v>772</v>
      </c>
      <c r="B52" s="78" t="s">
        <v>297</v>
      </c>
      <c r="C52" s="78">
        <v>444</v>
      </c>
      <c r="D52" s="99">
        <f>Table76[[#This Row],[2020]]/C107</f>
        <v>6.438328354746092E-3</v>
      </c>
      <c r="F52" s="16" t="s">
        <v>543</v>
      </c>
      <c r="G52" s="17">
        <v>19974</v>
      </c>
      <c r="H52" s="65">
        <f>Table77[[#This Row],[TRUMP VOTES]]/C107</f>
        <v>0.28963777152634784</v>
      </c>
      <c r="I52" s="18">
        <v>0.71099999999999997</v>
      </c>
      <c r="J52" s="17">
        <v>7293</v>
      </c>
      <c r="K52" s="65">
        <f>Table77[[#This Row],[BIDEN VOTES]]/C107</f>
        <v>0.10575389344856588</v>
      </c>
      <c r="L52" s="18">
        <v>0.25900000000000001</v>
      </c>
      <c r="M52" s="65">
        <f>1-(Table77[[#This Row],[NbP]]+Table77[[#This Row],[NbP2]])</f>
        <v>0.60460833502508626</v>
      </c>
    </row>
    <row r="53" spans="1:13" ht="20">
      <c r="A53" s="78" t="s">
        <v>1450</v>
      </c>
      <c r="B53" s="78" t="s">
        <v>297</v>
      </c>
      <c r="C53" s="78">
        <v>9</v>
      </c>
      <c r="D53" s="99">
        <f>Table76[[#This Row],[2020]]/C108</f>
        <v>2.3142195937258937E-3</v>
      </c>
      <c r="F53" s="16" t="s">
        <v>1486</v>
      </c>
      <c r="G53" s="17">
        <v>1893</v>
      </c>
      <c r="H53" s="65">
        <f>Table77[[#This Row],[TRUMP VOTES]]/C108</f>
        <v>0.4867575212136796</v>
      </c>
      <c r="I53" s="18">
        <v>0.8</v>
      </c>
      <c r="J53" s="19">
        <v>442</v>
      </c>
      <c r="K53" s="65">
        <f>Table77[[#This Row],[BIDEN VOTES]]/C108</f>
        <v>0.11365389560298277</v>
      </c>
      <c r="L53" s="18">
        <v>0.187</v>
      </c>
      <c r="M53" s="65">
        <f>1-(Table77[[#This Row],[NbP]]+Table77[[#This Row],[NbP2]])</f>
        <v>0.39958858318333768</v>
      </c>
    </row>
    <row r="54" spans="1:13" ht="20">
      <c r="A54" s="78" t="s">
        <v>2547</v>
      </c>
      <c r="B54" s="78" t="s">
        <v>297</v>
      </c>
      <c r="C54" s="78">
        <v>244</v>
      </c>
      <c r="D54" s="99">
        <f>Table76[[#This Row],[2020]]/C109</f>
        <v>6.7695039396293418E-3</v>
      </c>
      <c r="F54" s="16" t="s">
        <v>2582</v>
      </c>
      <c r="G54" s="17">
        <v>11739</v>
      </c>
      <c r="H54" s="65">
        <f>Table77[[#This Row],[TRUMP VOTES]]/C109</f>
        <v>0.32568527355454446</v>
      </c>
      <c r="I54" s="18">
        <v>0.82299999999999995</v>
      </c>
      <c r="J54" s="17">
        <v>2169</v>
      </c>
      <c r="K54" s="65">
        <f>Table77[[#This Row],[BIDEN VOTES]]/C109</f>
        <v>6.0176451004328044E-2</v>
      </c>
      <c r="L54" s="18">
        <v>0.152</v>
      </c>
      <c r="M54" s="65">
        <f>1-(Table77[[#This Row],[NbP]]+Table77[[#This Row],[NbP2]])</f>
        <v>0.61413827544112753</v>
      </c>
    </row>
    <row r="56" spans="1:13" ht="21">
      <c r="A56" s="77" t="s">
        <v>1670</v>
      </c>
      <c r="B56" s="77" t="s">
        <v>69</v>
      </c>
      <c r="C56" s="77" t="s">
        <v>54</v>
      </c>
    </row>
    <row r="57" spans="1:13" ht="21">
      <c r="A57" s="52">
        <v>43</v>
      </c>
      <c r="B57" s="53" t="s">
        <v>1144</v>
      </c>
      <c r="C57" s="54">
        <v>2271</v>
      </c>
    </row>
    <row r="58" spans="1:13" ht="21">
      <c r="A58" s="52">
        <v>14</v>
      </c>
      <c r="B58" s="53" t="s">
        <v>2548</v>
      </c>
      <c r="C58" s="54">
        <v>10592</v>
      </c>
    </row>
    <row r="59" spans="1:13" ht="21">
      <c r="A59" s="52">
        <v>19</v>
      </c>
      <c r="B59" s="53" t="s">
        <v>2549</v>
      </c>
      <c r="C59" s="54">
        <v>6860</v>
      </c>
    </row>
    <row r="60" spans="1:13" ht="21">
      <c r="A60" s="52">
        <v>52</v>
      </c>
      <c r="B60" s="53" t="s">
        <v>2550</v>
      </c>
      <c r="C60" s="52">
        <v>886</v>
      </c>
    </row>
    <row r="61" spans="1:13" ht="21">
      <c r="A61" s="52">
        <v>21</v>
      </c>
      <c r="B61" s="53" t="s">
        <v>2551</v>
      </c>
      <c r="C61" s="54">
        <v>6418</v>
      </c>
    </row>
    <row r="62" spans="1:13" ht="21">
      <c r="A62" s="52">
        <v>34</v>
      </c>
      <c r="B62" s="53" t="s">
        <v>2552</v>
      </c>
      <c r="C62" s="54">
        <v>3091</v>
      </c>
    </row>
    <row r="63" spans="1:13" ht="21">
      <c r="A63" s="52">
        <v>46</v>
      </c>
      <c r="B63" s="53" t="s">
        <v>1317</v>
      </c>
      <c r="C63" s="54">
        <v>2142</v>
      </c>
    </row>
    <row r="64" spans="1:13" ht="21">
      <c r="A64" s="52">
        <v>2</v>
      </c>
      <c r="B64" s="53" t="s">
        <v>2553</v>
      </c>
      <c r="C64" s="54">
        <v>95509</v>
      </c>
    </row>
    <row r="65" spans="1:3" ht="21">
      <c r="A65" s="52">
        <v>1</v>
      </c>
      <c r="B65" s="53" t="s">
        <v>363</v>
      </c>
      <c r="C65" s="54">
        <v>179937</v>
      </c>
    </row>
    <row r="66" spans="1:3" ht="21">
      <c r="A66" s="52">
        <v>31</v>
      </c>
      <c r="B66" s="53" t="s">
        <v>2554</v>
      </c>
      <c r="C66" s="54">
        <v>3769</v>
      </c>
    </row>
    <row r="67" spans="1:3" ht="21">
      <c r="A67" s="52">
        <v>24</v>
      </c>
      <c r="B67" s="53" t="s">
        <v>2555</v>
      </c>
      <c r="C67" s="54">
        <v>4857</v>
      </c>
    </row>
    <row r="68" spans="1:3" ht="21">
      <c r="A68" s="52">
        <v>42</v>
      </c>
      <c r="B68" s="53" t="s">
        <v>2556</v>
      </c>
      <c r="C68" s="54">
        <v>2289</v>
      </c>
    </row>
    <row r="69" spans="1:3" ht="21">
      <c r="A69" s="52">
        <v>25</v>
      </c>
      <c r="B69" s="53" t="s">
        <v>2557</v>
      </c>
      <c r="C69" s="54">
        <v>4362</v>
      </c>
    </row>
    <row r="70" spans="1:3" ht="21">
      <c r="A70" s="52">
        <v>44</v>
      </c>
      <c r="B70" s="53" t="s">
        <v>2340</v>
      </c>
      <c r="C70" s="54">
        <v>2262</v>
      </c>
    </row>
    <row r="71" spans="1:3" ht="21">
      <c r="A71" s="52">
        <v>32</v>
      </c>
      <c r="B71" s="53" t="s">
        <v>2558</v>
      </c>
      <c r="C71" s="54">
        <v>3262</v>
      </c>
    </row>
    <row r="72" spans="1:3" ht="21">
      <c r="A72" s="52">
        <v>33</v>
      </c>
      <c r="B72" s="53" t="s">
        <v>2559</v>
      </c>
      <c r="C72" s="54">
        <v>3231</v>
      </c>
    </row>
    <row r="73" spans="1:3" ht="21">
      <c r="A73" s="52">
        <v>49</v>
      </c>
      <c r="B73" s="53" t="s">
        <v>2560</v>
      </c>
      <c r="C73" s="54">
        <v>1796</v>
      </c>
    </row>
    <row r="74" spans="1:3" ht="21">
      <c r="A74" s="52">
        <v>3</v>
      </c>
      <c r="B74" s="53" t="s">
        <v>2561</v>
      </c>
      <c r="C74" s="54">
        <v>70243</v>
      </c>
    </row>
    <row r="75" spans="1:3" ht="21">
      <c r="A75" s="52">
        <v>40</v>
      </c>
      <c r="B75" s="53" t="s">
        <v>278</v>
      </c>
      <c r="C75" s="54">
        <v>2318</v>
      </c>
    </row>
    <row r="76" spans="1:3" ht="21">
      <c r="A76" s="52">
        <v>41</v>
      </c>
      <c r="B76" s="53" t="s">
        <v>2562</v>
      </c>
      <c r="C76" s="54">
        <v>2314</v>
      </c>
    </row>
    <row r="77" spans="1:3" ht="21">
      <c r="A77" s="52">
        <v>37</v>
      </c>
      <c r="B77" s="53" t="s">
        <v>2563</v>
      </c>
      <c r="C77" s="54">
        <v>2510</v>
      </c>
    </row>
    <row r="78" spans="1:3" ht="21">
      <c r="A78" s="52">
        <v>38</v>
      </c>
      <c r="B78" s="53" t="s">
        <v>2564</v>
      </c>
      <c r="C78" s="54">
        <v>2468</v>
      </c>
    </row>
    <row r="79" spans="1:3" ht="21">
      <c r="A79" s="52">
        <v>27</v>
      </c>
      <c r="B79" s="53" t="s">
        <v>2565</v>
      </c>
      <c r="C79" s="54">
        <v>4225</v>
      </c>
    </row>
    <row r="80" spans="1:3" ht="21">
      <c r="A80" s="52">
        <v>50</v>
      </c>
      <c r="B80" s="53" t="s">
        <v>837</v>
      </c>
      <c r="C80" s="54">
        <v>1743</v>
      </c>
    </row>
    <row r="81" spans="1:3" ht="21">
      <c r="A81" s="52">
        <v>22</v>
      </c>
      <c r="B81" s="53" t="s">
        <v>2566</v>
      </c>
      <c r="C81" s="54">
        <v>5825</v>
      </c>
    </row>
    <row r="82" spans="1:3" ht="21">
      <c r="A82" s="52">
        <v>36</v>
      </c>
      <c r="B82" s="53" t="s">
        <v>1360</v>
      </c>
      <c r="C82" s="54">
        <v>2535</v>
      </c>
    </row>
    <row r="83" spans="1:3" ht="21">
      <c r="A83" s="52">
        <v>11</v>
      </c>
      <c r="B83" s="53" t="s">
        <v>2567</v>
      </c>
      <c r="C83" s="54">
        <v>13836</v>
      </c>
    </row>
    <row r="84" spans="1:3" ht="21">
      <c r="A84" s="52">
        <v>16</v>
      </c>
      <c r="B84" s="53" t="s">
        <v>1408</v>
      </c>
      <c r="C84" s="54">
        <v>9531</v>
      </c>
    </row>
    <row r="85" spans="1:3" ht="21">
      <c r="A85" s="52">
        <v>17</v>
      </c>
      <c r="B85" s="53" t="s">
        <v>794</v>
      </c>
      <c r="C85" s="54">
        <v>8359</v>
      </c>
    </row>
    <row r="86" spans="1:3" ht="21">
      <c r="A86" s="52">
        <v>7</v>
      </c>
      <c r="B86" s="53" t="s">
        <v>2568</v>
      </c>
      <c r="C86" s="54">
        <v>31118</v>
      </c>
    </row>
    <row r="87" spans="1:3" ht="21">
      <c r="A87" s="52">
        <v>15</v>
      </c>
      <c r="B87" s="53" t="s">
        <v>2569</v>
      </c>
      <c r="C87" s="54">
        <v>10348</v>
      </c>
    </row>
    <row r="88" spans="1:3" ht="21">
      <c r="A88" s="52">
        <v>35</v>
      </c>
      <c r="B88" s="53" t="s">
        <v>1660</v>
      </c>
      <c r="C88" s="54">
        <v>2864</v>
      </c>
    </row>
    <row r="89" spans="1:3" ht="21">
      <c r="A89" s="52">
        <v>47</v>
      </c>
      <c r="B89" s="53" t="s">
        <v>2570</v>
      </c>
      <c r="C89" s="54">
        <v>1962</v>
      </c>
    </row>
    <row r="90" spans="1:3" ht="21">
      <c r="A90" s="52">
        <v>20</v>
      </c>
      <c r="B90" s="53" t="s">
        <v>2571</v>
      </c>
      <c r="C90" s="54">
        <v>6850</v>
      </c>
    </row>
    <row r="91" spans="1:3" ht="21">
      <c r="A91" s="52">
        <v>28</v>
      </c>
      <c r="B91" s="53" t="s">
        <v>1369</v>
      </c>
      <c r="C91" s="54">
        <v>4061</v>
      </c>
    </row>
    <row r="92" spans="1:3" ht="21">
      <c r="A92" s="52">
        <v>12</v>
      </c>
      <c r="B92" s="53" t="s">
        <v>1985</v>
      </c>
      <c r="C92" s="54">
        <v>11521</v>
      </c>
    </row>
    <row r="93" spans="1:3" ht="21">
      <c r="A93" s="52">
        <v>23</v>
      </c>
      <c r="B93" s="53" t="s">
        <v>2572</v>
      </c>
      <c r="C93" s="54">
        <v>5258</v>
      </c>
    </row>
    <row r="94" spans="1:3" ht="21">
      <c r="A94" s="52">
        <v>39</v>
      </c>
      <c r="B94" s="53" t="s">
        <v>1988</v>
      </c>
      <c r="C94" s="54">
        <v>2387</v>
      </c>
    </row>
    <row r="95" spans="1:3" ht="21">
      <c r="A95" s="52">
        <v>9</v>
      </c>
      <c r="B95" s="53" t="s">
        <v>2573</v>
      </c>
      <c r="C95" s="54">
        <v>16245</v>
      </c>
    </row>
    <row r="96" spans="1:3" ht="21">
      <c r="A96" s="52">
        <v>10</v>
      </c>
      <c r="B96" s="53" t="s">
        <v>2574</v>
      </c>
      <c r="C96" s="54">
        <v>14437</v>
      </c>
    </row>
    <row r="97" spans="1:3" ht="21">
      <c r="A97" s="52">
        <v>29</v>
      </c>
      <c r="B97" s="53" t="s">
        <v>2575</v>
      </c>
      <c r="C97" s="54">
        <v>3899</v>
      </c>
    </row>
    <row r="98" spans="1:3" ht="21">
      <c r="A98" s="52">
        <v>51</v>
      </c>
      <c r="B98" s="53" t="s">
        <v>2269</v>
      </c>
      <c r="C98" s="54">
        <v>1289</v>
      </c>
    </row>
    <row r="99" spans="1:3" ht="21">
      <c r="A99" s="52">
        <v>26</v>
      </c>
      <c r="B99" s="53" t="s">
        <v>1567</v>
      </c>
      <c r="C99" s="54">
        <v>4339</v>
      </c>
    </row>
    <row r="100" spans="1:3" ht="21">
      <c r="A100" s="52">
        <v>53</v>
      </c>
      <c r="B100" s="53" t="s">
        <v>2576</v>
      </c>
      <c r="C100" s="52">
        <v>788</v>
      </c>
    </row>
    <row r="101" spans="1:3" ht="21">
      <c r="A101" s="52">
        <v>6</v>
      </c>
      <c r="B101" s="53" t="s">
        <v>2577</v>
      </c>
      <c r="C101" s="54">
        <v>31164</v>
      </c>
    </row>
    <row r="102" spans="1:3" ht="21">
      <c r="A102" s="52">
        <v>48</v>
      </c>
      <c r="B102" s="53" t="s">
        <v>1996</v>
      </c>
      <c r="C102" s="54">
        <v>1817</v>
      </c>
    </row>
    <row r="103" spans="1:3" ht="21">
      <c r="A103" s="52">
        <v>8</v>
      </c>
      <c r="B103" s="53" t="s">
        <v>2578</v>
      </c>
      <c r="C103" s="54">
        <v>20879</v>
      </c>
    </row>
    <row r="104" spans="1:3" ht="21">
      <c r="A104" s="52">
        <v>45</v>
      </c>
      <c r="B104" s="53" t="s">
        <v>2579</v>
      </c>
      <c r="C104" s="54">
        <v>2191</v>
      </c>
    </row>
    <row r="105" spans="1:3" ht="21">
      <c r="A105" s="52">
        <v>18</v>
      </c>
      <c r="B105" s="53" t="s">
        <v>2580</v>
      </c>
      <c r="C105" s="54">
        <v>7999</v>
      </c>
    </row>
    <row r="106" spans="1:3" ht="21">
      <c r="A106" s="52">
        <v>13</v>
      </c>
      <c r="B106" s="53" t="s">
        <v>2581</v>
      </c>
      <c r="C106" s="54">
        <v>10642</v>
      </c>
    </row>
    <row r="107" spans="1:3" ht="21">
      <c r="A107" s="52">
        <v>4</v>
      </c>
      <c r="B107" s="53" t="s">
        <v>543</v>
      </c>
      <c r="C107" s="54">
        <v>68962</v>
      </c>
    </row>
    <row r="108" spans="1:3" ht="21">
      <c r="A108" s="52">
        <v>30</v>
      </c>
      <c r="B108" s="53" t="s">
        <v>1486</v>
      </c>
      <c r="C108" s="54">
        <v>3889</v>
      </c>
    </row>
    <row r="109" spans="1:3" ht="21">
      <c r="A109" s="52">
        <v>5</v>
      </c>
      <c r="B109" s="53" t="s">
        <v>2582</v>
      </c>
      <c r="C109" s="54">
        <v>36044</v>
      </c>
    </row>
  </sheetData>
  <hyperlinks>
    <hyperlink ref="B65" r:id="rId1" display="https://www.northdakota-demographics.com/cass-county-demographics" xr:uid="{F2DF5219-18F8-394E-A145-E63BC88FBB99}"/>
    <hyperlink ref="B64" r:id="rId2" display="https://www.northdakota-demographics.com/burleigh-county-demographics" xr:uid="{DB680BFF-1CC1-394D-8B0E-BD1D21A72234}"/>
    <hyperlink ref="B74" r:id="rId3" display="https://www.northdakota-demographics.com/grand-forks-county-demographics" xr:uid="{28C26269-1F55-724F-B2E2-8FBD291437AF}"/>
    <hyperlink ref="B107" r:id="rId4" display="https://www.northdakota-demographics.com/ward-county-demographics" xr:uid="{F7FF1E8D-F305-6449-84B7-2D51224326F6}"/>
    <hyperlink ref="B109" r:id="rId5" display="https://www.northdakota-demographics.com/williams-county-demographics" xr:uid="{E0B0FB5E-2C87-2D42-A2AA-51A66E6D5876}"/>
    <hyperlink ref="B101" r:id="rId6" display="https://www.northdakota-demographics.com/stark-county-demographics" xr:uid="{4E2779EB-77FE-E949-B43B-9B40A48751D3}"/>
    <hyperlink ref="B86" r:id="rId7" display="https://www.northdakota-demographics.com/morton-county-demographics" xr:uid="{B3CB4936-B9B0-2D47-BA04-1A50EBFD0F83}"/>
    <hyperlink ref="B103" r:id="rId8" display="https://www.northdakota-demographics.com/stutsman-county-demographics" xr:uid="{4E03CCCA-4347-0143-B418-D0ECDAA3B6A0}"/>
    <hyperlink ref="B95" r:id="rId9" display="https://www.northdakota-demographics.com/richland-county-demographics" xr:uid="{0CFD3F55-1BDB-3A4B-9B29-52B13A0B8EB5}"/>
    <hyperlink ref="B96" r:id="rId10" display="https://www.northdakota-demographics.com/rolette-county-demographics" xr:uid="{ED144FFD-BC42-0148-857B-B4E52ABC7F51}"/>
    <hyperlink ref="B83" r:id="rId11" display="https://www.northdakota-demographics.com/mckenzie-county-demographics" xr:uid="{9FD2D423-AC1B-524E-A1B4-B1C9B885A981}"/>
    <hyperlink ref="B92" r:id="rId12" display="https://www.northdakota-demographics.com/ramsey-county-demographics" xr:uid="{3580ADD4-0BA0-FD4D-8AB5-934B3825636D}"/>
    <hyperlink ref="B106" r:id="rId13" display="https://www.northdakota-demographics.com/walsh-county-demographics" xr:uid="{970D2FDE-DEF1-B84C-8D5A-375C22EC05D0}"/>
    <hyperlink ref="B58" r:id="rId14" display="https://www.northdakota-demographics.com/barnes-county-demographics" xr:uid="{5D85FBED-600F-DA4A-A0FE-E57FED3FD7D5}"/>
    <hyperlink ref="B87" r:id="rId15" display="https://www.northdakota-demographics.com/mountrail-county-demographics" xr:uid="{429415F4-000D-9743-B984-5EDF8CB635AA}"/>
    <hyperlink ref="B84" r:id="rId16" display="https://www.northdakota-demographics.com/mclean-county-demographics" xr:uid="{4CB83934-31BB-8D4B-91A5-0627340BB965}"/>
    <hyperlink ref="B85" r:id="rId17" display="https://www.northdakota-demographics.com/mercer-county-demographics" xr:uid="{E856F1B7-90AF-D343-9859-D0F0A971E9BF}"/>
    <hyperlink ref="B105" r:id="rId18" display="https://www.northdakota-demographics.com/traill-county-demographics" xr:uid="{6F72493E-9A03-A843-9848-E77122545A26}"/>
    <hyperlink ref="B59" r:id="rId19" display="https://www.northdakota-demographics.com/benson-county-demographics" xr:uid="{442CF66D-2335-BD45-90A2-03795B64EF69}"/>
    <hyperlink ref="B90" r:id="rId20" display="https://www.northdakota-demographics.com/pembina-county-demographics" xr:uid="{8F5894B0-B7CE-0A4C-BA6C-2F5A650B4DD4}"/>
    <hyperlink ref="B61" r:id="rId21" display="https://www.northdakota-demographics.com/bottineau-county-demographics" xr:uid="{AABB102F-A7F4-534A-8719-620B512BAFE0}"/>
    <hyperlink ref="B81" r:id="rId22" display="https://www.northdakota-demographics.com/mchenry-county-demographics" xr:uid="{E25C4824-236B-D844-B662-3F0F287A7D3C}"/>
    <hyperlink ref="B93" r:id="rId23" display="https://www.northdakota-demographics.com/ransom-county-demographics" xr:uid="{9E27B2BB-91DC-ED48-9DFC-D5666FBA51AC}"/>
    <hyperlink ref="B67" r:id="rId24" display="https://www.northdakota-demographics.com/dickey-county-demographics" xr:uid="{9B05780F-FD9B-1444-9B7A-E1D90BB25A06}"/>
    <hyperlink ref="B69" r:id="rId25" display="https://www.northdakota-demographics.com/dunn-county-demographics" xr:uid="{0A3B7C88-90EF-A247-8E9B-A5E20449A54D}"/>
    <hyperlink ref="B99" r:id="rId26" display="https://www.northdakota-demographics.com/sioux-county-demographics" xr:uid="{DC60B098-F892-9649-AB1F-DA7D4112ED58}"/>
    <hyperlink ref="B79" r:id="rId27" display="https://www.northdakota-demographics.com/lamoure-county-demographics" xr:uid="{236DF31A-1B89-CE47-A906-321E0A2A1B41}"/>
    <hyperlink ref="B91" r:id="rId28" display="https://www.northdakota-demographics.com/pierce-county-demographics" xr:uid="{B5A8116B-521D-704F-BF69-6875A3CE798C}"/>
    <hyperlink ref="B97" r:id="rId29" display="https://www.northdakota-demographics.com/sargent-county-demographics" xr:uid="{C780B9B5-6481-A949-B07E-D014BB1F36D3}"/>
    <hyperlink ref="B108" r:id="rId30" display="https://www.northdakota-demographics.com/wells-county-demographics" xr:uid="{35C24590-0EDB-5341-A5C4-17BB7FF9F482}"/>
    <hyperlink ref="B66" r:id="rId31" display="https://www.northdakota-demographics.com/cavalier-county-demographics" xr:uid="{D14A9AD3-9C2E-0A40-BE73-672EE153ED0D}"/>
    <hyperlink ref="B71" r:id="rId32" display="https://www.northdakota-demographics.com/emmons-county-demographics" xr:uid="{752776DC-467D-A94E-864B-C46E42F8F6DE}"/>
    <hyperlink ref="B72" r:id="rId33" display="https://www.northdakota-demographics.com/foster-county-demographics" xr:uid="{6E2C85B5-23E3-5E4F-A587-424FEAFE13B3}"/>
    <hyperlink ref="B62" r:id="rId34" display="https://www.northdakota-demographics.com/bowman-county-demographics" xr:uid="{3F8CE5F5-3DF6-2E4D-B12B-948171ED4A8C}"/>
    <hyperlink ref="B88" r:id="rId35" display="https://www.northdakota-demographics.com/nelson-county-demographics" xr:uid="{8E10EEA2-610E-4046-AC2A-B30B0186FFD8}"/>
    <hyperlink ref="B82" r:id="rId36" display="https://www.northdakota-demographics.com/mcintosh-county-demographics" xr:uid="{CFA8D252-785E-B24B-BCF5-ABC6367E3186}"/>
    <hyperlink ref="B77" r:id="rId37" display="https://www.northdakota-demographics.com/hettinger-county-demographics" xr:uid="{80DBB3AD-C959-AC4D-8754-51F3F43C6C51}"/>
    <hyperlink ref="B78" r:id="rId38" display="https://www.northdakota-demographics.com/kidder-county-demographics" xr:uid="{3CEAF7A3-2296-CF4C-BF19-8A8FC192F506}"/>
    <hyperlink ref="B94" r:id="rId39" display="https://www.northdakota-demographics.com/renville-county-demographics" xr:uid="{AA81FEC7-7AA5-D948-A63A-A2CE4E3ECFF2}"/>
    <hyperlink ref="B75" r:id="rId40" display="https://www.northdakota-demographics.com/grant-county-demographics" xr:uid="{3DBD8A2A-524D-5942-861E-481A3A88EEA0}"/>
    <hyperlink ref="B76" r:id="rId41" display="https://www.northdakota-demographics.com/griggs-county-demographics" xr:uid="{751583F9-4ED3-694D-BC99-D1DCB8F00047}"/>
    <hyperlink ref="B68" r:id="rId42" display="https://www.northdakota-demographics.com/divide-county-demographics" xr:uid="{FE33D8D1-9924-CE47-9DAE-CA58E9EE6EEB}"/>
    <hyperlink ref="B57" r:id="rId43" display="https://www.northdakota-demographics.com/adams-county-demographics" xr:uid="{E4FC5A86-1D97-A34B-BD2F-A8A962520D73}"/>
    <hyperlink ref="B70" r:id="rId44" display="https://www.northdakota-demographics.com/eddy-county-demographics" xr:uid="{CE4C1CC3-79FB-9F4F-B5E0-D1123B8E48E3}"/>
    <hyperlink ref="B104" r:id="rId45" display="https://www.northdakota-demographics.com/towner-county-demographics" xr:uid="{A652A8E8-DD21-CA41-8F2A-C2C329EABE4D}"/>
    <hyperlink ref="B63" r:id="rId46" display="https://www.northdakota-demographics.com/burke-county-demographics" xr:uid="{3FEBA91C-A0F2-5446-888A-5B9CAC681E5A}"/>
    <hyperlink ref="B89" r:id="rId47" display="https://www.northdakota-demographics.com/oliver-county-demographics" xr:uid="{E8B4CFB3-8D73-6247-B218-58B5C81BF222}"/>
    <hyperlink ref="B102" r:id="rId48" display="https://www.northdakota-demographics.com/steele-county-demographics" xr:uid="{0B155ECC-84FB-964A-8C91-576D9DA0DE95}"/>
    <hyperlink ref="B73" r:id="rId49" display="https://www.northdakota-demographics.com/golden-valley-county-demographics" xr:uid="{64EA7491-242F-DA47-A86A-75DB2BC55783}"/>
    <hyperlink ref="B80" r:id="rId50" display="https://www.northdakota-demographics.com/logan-county-demographics" xr:uid="{4256D156-8085-7C4D-9278-5C036CEB12B4}"/>
    <hyperlink ref="B98" r:id="rId51" display="https://www.northdakota-demographics.com/sheridan-county-demographics" xr:uid="{8FD8B823-C21E-F048-BA2E-B4795D793803}"/>
    <hyperlink ref="B60" r:id="rId52" display="https://www.northdakota-demographics.com/billings-county-demographics" xr:uid="{6F87ED96-A881-D74F-95EA-D77DE1F2AE56}"/>
    <hyperlink ref="B100" r:id="rId53" display="https://www.northdakota-demographics.com/slope-county-demographics" xr:uid="{252165BA-76BD-A748-BB38-E273ACA2D211}"/>
  </hyperlinks>
  <pageMargins left="0.7" right="0.7" top="0.75" bottom="0.75" header="0.3" footer="0.3"/>
  <tableParts count="3">
    <tablePart r:id="rId54"/>
    <tablePart r:id="rId55"/>
    <tablePart r:id="rId56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2D69-6CC9-F540-AE3E-028339EE9D38}">
  <dimension ref="A1:Q179"/>
  <sheetViews>
    <sheetView workbookViewId="0">
      <selection activeCell="P4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</cols>
  <sheetData>
    <row r="1" spans="1:17" ht="21">
      <c r="A1" s="95" t="s">
        <v>64</v>
      </c>
      <c r="B1" s="95" t="s">
        <v>1674</v>
      </c>
      <c r="C1" s="95" t="s">
        <v>1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1094</v>
      </c>
      <c r="B2" s="78" t="s">
        <v>297</v>
      </c>
      <c r="C2" s="78">
        <v>95</v>
      </c>
      <c r="D2" s="78">
        <f>Table79[[#This Row],[2020]]/C92</f>
        <v>3.4314610800072242E-3</v>
      </c>
      <c r="F2" s="16" t="s">
        <v>1144</v>
      </c>
      <c r="G2" s="17">
        <v>9870</v>
      </c>
      <c r="H2" s="80">
        <f>Table80[[#This Row],[TRUMP VOTES]]/C92</f>
        <v>0.35651074589127685</v>
      </c>
      <c r="I2" s="18">
        <v>0.81299999999999994</v>
      </c>
      <c r="J2" s="17">
        <v>2156</v>
      </c>
      <c r="K2" s="80">
        <f>Table80[[#This Row],[BIDEN VOTES]]/C92</f>
        <v>7.7876106194690264E-2</v>
      </c>
      <c r="L2" s="18">
        <v>0.17799999999999999</v>
      </c>
      <c r="M2" s="80">
        <f>1-(Table80[[#This Row],[NbP]]+Table80[[#This Row],[NbP2]])</f>
        <v>0.56561314791403294</v>
      </c>
      <c r="O2" t="s">
        <v>1671</v>
      </c>
      <c r="P2" s="37">
        <f>CORREL(D:D,H:H)</f>
        <v>-3.1650648689442944E-2</v>
      </c>
      <c r="Q2">
        <v>0.1</v>
      </c>
    </row>
    <row r="3" spans="1:17" ht="20">
      <c r="A3" s="78" t="s">
        <v>1415</v>
      </c>
      <c r="B3" s="78" t="s">
        <v>297</v>
      </c>
      <c r="C3" s="78">
        <v>228</v>
      </c>
      <c r="D3" s="78">
        <f>Table79[[#This Row],[2020]]/C93</f>
        <v>2.2177262469846703E-3</v>
      </c>
      <c r="F3" s="16" t="s">
        <v>1452</v>
      </c>
      <c r="G3" s="17">
        <v>33116</v>
      </c>
      <c r="H3" s="80">
        <f>Table80[[#This Row],[TRUMP VOTES]]/C93</f>
        <v>0.32211501050501906</v>
      </c>
      <c r="I3" s="18">
        <v>0.69</v>
      </c>
      <c r="J3" s="17">
        <v>14149</v>
      </c>
      <c r="K3" s="80">
        <f>Table80[[#This Row],[BIDEN VOTES]]/C93</f>
        <v>0.13762547661660571</v>
      </c>
      <c r="L3" s="18">
        <v>0.29499999999999998</v>
      </c>
      <c r="M3" s="80">
        <f>1-(Table80[[#This Row],[NbP]]+Table80[[#This Row],[NbP2]])</f>
        <v>0.54025951287837526</v>
      </c>
      <c r="O3" t="s">
        <v>1672</v>
      </c>
      <c r="P3">
        <f>CORREL(D:D,K:K)</f>
        <v>-0.25078531643296215</v>
      </c>
      <c r="Q3">
        <v>0.05</v>
      </c>
    </row>
    <row r="4" spans="1:17" ht="20">
      <c r="A4" s="78" t="s">
        <v>2583</v>
      </c>
      <c r="B4" s="78" t="s">
        <v>297</v>
      </c>
      <c r="C4" s="78">
        <v>124</v>
      </c>
      <c r="D4" s="78">
        <f>Table79[[#This Row],[2020]]/C94</f>
        <v>2.3163282461285562E-3</v>
      </c>
      <c r="F4" s="16" t="s">
        <v>2617</v>
      </c>
      <c r="G4" s="17">
        <v>19407</v>
      </c>
      <c r="H4" s="80">
        <f>Table80[[#This Row],[TRUMP VOTES]]/C94</f>
        <v>0.36252405058562009</v>
      </c>
      <c r="I4" s="18">
        <v>0.73499999999999999</v>
      </c>
      <c r="J4" s="17">
        <v>6541</v>
      </c>
      <c r="K4" s="80">
        <f>Table80[[#This Row],[BIDEN VOTES]]/C94</f>
        <v>0.12218631498328134</v>
      </c>
      <c r="L4" s="18">
        <v>0.248</v>
      </c>
      <c r="M4" s="80">
        <f>1-(Table80[[#This Row],[NbP]]+Table80[[#This Row],[NbP2]])</f>
        <v>0.51528963443109854</v>
      </c>
      <c r="O4" t="s">
        <v>1679</v>
      </c>
      <c r="P4">
        <f>CORREL(D:D,M:M)</f>
        <v>0.35025955511069379</v>
      </c>
      <c r="Q4">
        <v>0.01</v>
      </c>
    </row>
    <row r="5" spans="1:17" ht="20">
      <c r="A5" s="78" t="s">
        <v>2584</v>
      </c>
      <c r="B5" s="78" t="s">
        <v>297</v>
      </c>
      <c r="C5" s="78">
        <v>128</v>
      </c>
      <c r="D5" s="78">
        <f>Table79[[#This Row],[2020]]/C95</f>
        <v>1.3139525334647285E-3</v>
      </c>
      <c r="F5" s="16" t="s">
        <v>2618</v>
      </c>
      <c r="G5" s="17">
        <v>26890</v>
      </c>
      <c r="H5" s="80">
        <f>Table80[[#This Row],[TRUMP VOTES]]/C95</f>
        <v>0.27603268456926994</v>
      </c>
      <c r="I5" s="18">
        <v>0.60899999999999999</v>
      </c>
      <c r="J5" s="17">
        <v>16497</v>
      </c>
      <c r="K5" s="80">
        <f>Table80[[#This Row],[BIDEN VOTES]]/C95</f>
        <v>0.16934589800443459</v>
      </c>
      <c r="L5" s="18">
        <v>0.374</v>
      </c>
      <c r="M5" s="80">
        <f>1-(Table80[[#This Row],[NbP]]+Table80[[#This Row],[NbP2]])</f>
        <v>0.55462141742629545</v>
      </c>
    </row>
    <row r="6" spans="1:17" ht="20">
      <c r="A6" s="78" t="s">
        <v>2585</v>
      </c>
      <c r="B6" s="78" t="s">
        <v>297</v>
      </c>
      <c r="C6" s="78">
        <v>150</v>
      </c>
      <c r="D6" s="78">
        <f>Table79[[#This Row],[2020]]/C96</f>
        <v>2.2746227917203729E-3</v>
      </c>
      <c r="F6" s="16" t="s">
        <v>2619</v>
      </c>
      <c r="G6" s="17">
        <v>10862</v>
      </c>
      <c r="H6" s="80">
        <f>Table80[[#This Row],[TRUMP VOTES]]/C96</f>
        <v>0.16471301842444461</v>
      </c>
      <c r="I6" s="18">
        <v>0.41699999999999998</v>
      </c>
      <c r="J6" s="17">
        <v>14772</v>
      </c>
      <c r="K6" s="80">
        <f>Table80[[#This Row],[BIDEN VOTES]]/C96</f>
        <v>0.22400485252862234</v>
      </c>
      <c r="L6" s="18">
        <v>0.56699999999999995</v>
      </c>
      <c r="M6" s="80">
        <f>1-(Table80[[#This Row],[NbP]]+Table80[[#This Row],[NbP2]])</f>
        <v>0.61128212904693302</v>
      </c>
    </row>
    <row r="7" spans="1:17" ht="20">
      <c r="A7" s="78" t="s">
        <v>2586</v>
      </c>
      <c r="B7" s="78" t="s">
        <v>297</v>
      </c>
      <c r="C7" s="78">
        <v>64</v>
      </c>
      <c r="D7" s="78">
        <f>Table79[[#This Row],[2020]]/C97</f>
        <v>1.4001618937189613E-3</v>
      </c>
      <c r="F7" s="16" t="s">
        <v>2620</v>
      </c>
      <c r="G7" s="17">
        <v>20798</v>
      </c>
      <c r="H7" s="80">
        <f>Table80[[#This Row],[TRUMP VOTES]]/C97</f>
        <v>0.45500886039948368</v>
      </c>
      <c r="I7" s="18">
        <v>0.80700000000000005</v>
      </c>
      <c r="J7" s="17">
        <v>4651</v>
      </c>
      <c r="K7" s="80">
        <f>Table80[[#This Row],[BIDEN VOTES]]/C97</f>
        <v>0.10175239012010764</v>
      </c>
      <c r="L7" s="18">
        <v>0.18</v>
      </c>
      <c r="M7" s="80">
        <f>1-(Table80[[#This Row],[NbP]]+Table80[[#This Row],[NbP2]])</f>
        <v>0.44323874948040864</v>
      </c>
    </row>
    <row r="8" spans="1:17" ht="20">
      <c r="A8" s="78" t="s">
        <v>2587</v>
      </c>
      <c r="B8" s="78" t="s">
        <v>297</v>
      </c>
      <c r="C8" s="78">
        <v>116</v>
      </c>
      <c r="D8" s="78">
        <f>Table79[[#This Row],[2020]]/C98</f>
        <v>1.7204556241101092E-3</v>
      </c>
      <c r="F8" s="16" t="s">
        <v>2621</v>
      </c>
      <c r="G8" s="17">
        <v>23560</v>
      </c>
      <c r="H8" s="80">
        <f>Table80[[#This Row],[TRUMP VOTES]]/C98</f>
        <v>0.34943046986236354</v>
      </c>
      <c r="I8" s="18">
        <v>0.71199999999999997</v>
      </c>
      <c r="J8" s="17">
        <v>9138</v>
      </c>
      <c r="K8" s="80">
        <f>Table80[[#This Row],[BIDEN VOTES]]/C98</f>
        <v>0.13553037494067394</v>
      </c>
      <c r="L8" s="18">
        <v>0.27600000000000002</v>
      </c>
      <c r="M8" s="80">
        <f>1-(Table80[[#This Row],[NbP]]+Table80[[#This Row],[NbP2]])</f>
        <v>0.51503915519696253</v>
      </c>
    </row>
    <row r="9" spans="1:17" ht="20">
      <c r="A9" s="78" t="s">
        <v>582</v>
      </c>
      <c r="B9" s="78" t="s">
        <v>297</v>
      </c>
      <c r="C9" s="78">
        <v>114</v>
      </c>
      <c r="D9" s="78">
        <f>Table79[[#This Row],[2020]]/C99</f>
        <v>2.62020777787993E-3</v>
      </c>
      <c r="F9" s="16" t="s">
        <v>354</v>
      </c>
      <c r="G9" s="17">
        <v>16480</v>
      </c>
      <c r="H9" s="80">
        <f>Table80[[#This Row],[TRUMP VOTES]]/C99</f>
        <v>0.37878091385492324</v>
      </c>
      <c r="I9" s="18">
        <v>0.78100000000000003</v>
      </c>
      <c r="J9" s="17">
        <v>4380</v>
      </c>
      <c r="K9" s="80">
        <f>Table80[[#This Row],[BIDEN VOTES]]/C99</f>
        <v>0.10067114093959731</v>
      </c>
      <c r="L9" s="18">
        <v>0.20799999999999999</v>
      </c>
      <c r="M9" s="80">
        <f>1-(Table80[[#This Row],[NbP]]+Table80[[#This Row],[NbP2]])</f>
        <v>0.52054794520547942</v>
      </c>
    </row>
    <row r="10" spans="1:17" ht="20">
      <c r="A10" s="78" t="s">
        <v>893</v>
      </c>
      <c r="B10" s="78" t="s">
        <v>297</v>
      </c>
      <c r="C10" s="78">
        <v>396</v>
      </c>
      <c r="D10" s="78">
        <f>Table79[[#This Row],[2020]]/C100</f>
        <v>1.0362992601974726E-3</v>
      </c>
      <c r="F10" s="16" t="s">
        <v>926</v>
      </c>
      <c r="G10" s="17">
        <v>114392</v>
      </c>
      <c r="H10" s="80">
        <f>Table80[[#This Row],[TRUMP VOTES]]/C100</f>
        <v>0.29935440649623557</v>
      </c>
      <c r="I10" s="18">
        <v>0.61299999999999999</v>
      </c>
      <c r="J10" s="17">
        <v>69613</v>
      </c>
      <c r="K10" s="80">
        <f>Table80[[#This Row],[BIDEN VOTES]]/C100</f>
        <v>0.1821714656568855</v>
      </c>
      <c r="L10" s="18">
        <v>0.373</v>
      </c>
      <c r="M10" s="80">
        <f>1-(Table80[[#This Row],[NbP]]+Table80[[#This Row],[NbP2]])</f>
        <v>0.51847412784687896</v>
      </c>
    </row>
    <row r="11" spans="1:17" ht="20">
      <c r="A11" s="78" t="s">
        <v>79</v>
      </c>
      <c r="B11" s="78" t="s">
        <v>297</v>
      </c>
      <c r="C11" s="78">
        <v>20</v>
      </c>
      <c r="D11" s="78">
        <f>Table79[[#This Row],[2020]]/C101</f>
        <v>7.3542930685787831E-4</v>
      </c>
      <c r="F11" s="16" t="s">
        <v>178</v>
      </c>
      <c r="G11" s="17">
        <v>10745</v>
      </c>
      <c r="H11" s="80">
        <f>Table80[[#This Row],[TRUMP VOTES]]/C101</f>
        <v>0.39510939510939513</v>
      </c>
      <c r="I11" s="18">
        <v>0.75600000000000001</v>
      </c>
      <c r="J11" s="17">
        <v>3251</v>
      </c>
      <c r="K11" s="80">
        <f>Table80[[#This Row],[BIDEN VOTES]]/C101</f>
        <v>0.11954403382974811</v>
      </c>
      <c r="L11" s="18">
        <v>0.22900000000000001</v>
      </c>
      <c r="M11" s="80">
        <f>1-(Table80[[#This Row],[NbP]]+Table80[[#This Row],[NbP2]])</f>
        <v>0.48534657106085677</v>
      </c>
    </row>
    <row r="12" spans="1:17" ht="20">
      <c r="A12" s="78" t="s">
        <v>2588</v>
      </c>
      <c r="B12" s="78" t="s">
        <v>297</v>
      </c>
      <c r="C12" s="78">
        <v>40</v>
      </c>
      <c r="D12" s="78">
        <f>Table79[[#This Row],[2020]]/C102</f>
        <v>1.0293095905921103E-3</v>
      </c>
      <c r="F12" s="16" t="s">
        <v>2622</v>
      </c>
      <c r="G12" s="17">
        <v>14589</v>
      </c>
      <c r="H12" s="80">
        <f>Table80[[#This Row],[TRUMP VOTES]]/C102</f>
        <v>0.37541494042870743</v>
      </c>
      <c r="I12" s="18">
        <v>0.73099999999999998</v>
      </c>
      <c r="J12" s="17">
        <v>5062</v>
      </c>
      <c r="K12" s="80">
        <f>Table80[[#This Row],[BIDEN VOTES]]/C102</f>
        <v>0.13025912868943157</v>
      </c>
      <c r="L12" s="18">
        <v>0.254</v>
      </c>
      <c r="M12" s="80">
        <f>1-(Table80[[#This Row],[NbP]]+Table80[[#This Row],[NbP2]])</f>
        <v>0.49432593088186105</v>
      </c>
    </row>
    <row r="13" spans="1:17" ht="20">
      <c r="A13" s="78" t="s">
        <v>1418</v>
      </c>
      <c r="B13" s="78" t="s">
        <v>297</v>
      </c>
      <c r="C13" s="78">
        <v>227</v>
      </c>
      <c r="D13" s="78">
        <f>Table79[[#This Row],[2020]]/C103</f>
        <v>1.6888750009299972E-3</v>
      </c>
      <c r="F13" s="16" t="s">
        <v>1404</v>
      </c>
      <c r="G13" s="17">
        <v>39032</v>
      </c>
      <c r="H13" s="80">
        <f>Table80[[#This Row],[TRUMP VOTES]]/C103</f>
        <v>0.29039722042422755</v>
      </c>
      <c r="I13" s="18">
        <v>0.60799999999999998</v>
      </c>
      <c r="J13" s="17">
        <v>24076</v>
      </c>
      <c r="K13" s="80">
        <f>Table80[[#This Row],[BIDEN VOTES]]/C103</f>
        <v>0.17912490979026702</v>
      </c>
      <c r="L13" s="18">
        <v>0.375</v>
      </c>
      <c r="M13" s="80">
        <f>1-(Table80[[#This Row],[NbP]]+Table80[[#This Row],[NbP2]])</f>
        <v>0.53047786978550548</v>
      </c>
    </row>
    <row r="14" spans="1:17" ht="20">
      <c r="A14" s="78" t="s">
        <v>2589</v>
      </c>
      <c r="B14" s="78" t="s">
        <v>297</v>
      </c>
      <c r="C14" s="78">
        <v>102</v>
      </c>
      <c r="D14" s="78">
        <f>Table79[[#This Row],[2020]]/C104</f>
        <v>4.960703447202552E-4</v>
      </c>
      <c r="F14" s="16" t="s">
        <v>2623</v>
      </c>
      <c r="G14" s="17">
        <v>74570</v>
      </c>
      <c r="H14" s="80">
        <f>Table80[[#This Row],[TRUMP VOTES]]/C104</f>
        <v>0.36266632946852384</v>
      </c>
      <c r="I14" s="18">
        <v>0.67500000000000004</v>
      </c>
      <c r="J14" s="17">
        <v>34092</v>
      </c>
      <c r="K14" s="80">
        <f>Table80[[#This Row],[BIDEN VOTES]]/C104</f>
        <v>0.16580421757061709</v>
      </c>
      <c r="L14" s="18">
        <v>0.309</v>
      </c>
      <c r="M14" s="80">
        <f>1-(Table80[[#This Row],[NbP]]+Table80[[#This Row],[NbP2]])</f>
        <v>0.47152945296085913</v>
      </c>
    </row>
    <row r="15" spans="1:17" ht="20">
      <c r="A15" s="78" t="s">
        <v>1398</v>
      </c>
      <c r="B15" s="78" t="s">
        <v>297</v>
      </c>
      <c r="C15" s="78">
        <v>94</v>
      </c>
      <c r="D15" s="78">
        <f>Table79[[#This Row],[2020]]/C105</f>
        <v>2.2380952380952382E-3</v>
      </c>
      <c r="F15" s="16" t="s">
        <v>1405</v>
      </c>
      <c r="G15" s="17">
        <v>15488</v>
      </c>
      <c r="H15" s="80">
        <f>Table80[[#This Row],[TRUMP VOTES]]/C105</f>
        <v>0.36876190476190474</v>
      </c>
      <c r="I15" s="18">
        <v>0.755</v>
      </c>
      <c r="J15" s="17">
        <v>4697</v>
      </c>
      <c r="K15" s="80">
        <f>Table80[[#This Row],[BIDEN VOTES]]/C105</f>
        <v>0.11183333333333334</v>
      </c>
      <c r="L15" s="18">
        <v>0.22900000000000001</v>
      </c>
      <c r="M15" s="80">
        <f>1-(Table80[[#This Row],[NbP]]+Table80[[#This Row],[NbP2]])</f>
        <v>0.51940476190476192</v>
      </c>
    </row>
    <row r="16" spans="1:17" ht="20">
      <c r="A16" s="78" t="s">
        <v>2590</v>
      </c>
      <c r="B16" s="78" t="s">
        <v>297</v>
      </c>
      <c r="C16" s="78">
        <v>85</v>
      </c>
      <c r="D16" s="78">
        <f>Table79[[#This Row],[2020]]/C106</f>
        <v>8.2915504223813328E-4</v>
      </c>
      <c r="F16" s="16" t="s">
        <v>2624</v>
      </c>
      <c r="G16" s="17">
        <v>35726</v>
      </c>
      <c r="H16" s="80">
        <f>Table80[[#This Row],[TRUMP VOTES]]/C106</f>
        <v>0.34849874163528882</v>
      </c>
      <c r="I16" s="18">
        <v>0.71699999999999997</v>
      </c>
      <c r="J16" s="17">
        <v>13359</v>
      </c>
      <c r="K16" s="80">
        <f>Table80[[#This Row],[BIDEN VOTES]]/C106</f>
        <v>0.13031390834422615</v>
      </c>
      <c r="L16" s="18">
        <v>0.26800000000000002</v>
      </c>
      <c r="M16" s="80">
        <f>1-(Table80[[#This Row],[NbP]]+Table80[[#This Row],[NbP2]])</f>
        <v>0.521187350020485</v>
      </c>
    </row>
    <row r="17" spans="1:13" ht="20">
      <c r="A17" s="78" t="s">
        <v>2591</v>
      </c>
      <c r="B17" s="78" t="s">
        <v>297</v>
      </c>
      <c r="C17" s="78">
        <v>64</v>
      </c>
      <c r="D17" s="78">
        <f>Table79[[#This Row],[2020]]/C107</f>
        <v>1.7506428141583238E-3</v>
      </c>
      <c r="F17" s="16" t="s">
        <v>2625</v>
      </c>
      <c r="G17" s="17">
        <v>12325</v>
      </c>
      <c r="H17" s="80">
        <f>Table80[[#This Row],[TRUMP VOTES]]/C107</f>
        <v>0.33713551069533343</v>
      </c>
      <c r="I17" s="18">
        <v>0.73599999999999999</v>
      </c>
      <c r="J17" s="17">
        <v>4125</v>
      </c>
      <c r="K17" s="80">
        <f>Table80[[#This Row],[BIDEN VOTES]]/C107</f>
        <v>0.11283440013129821</v>
      </c>
      <c r="L17" s="18">
        <v>0.246</v>
      </c>
      <c r="M17" s="80">
        <f>1-(Table80[[#This Row],[NbP]]+Table80[[#This Row],[NbP2]])</f>
        <v>0.55003008917336838</v>
      </c>
    </row>
    <row r="18" spans="1:13" ht="20">
      <c r="A18" s="78" t="s">
        <v>1237</v>
      </c>
      <c r="B18" s="78" t="s">
        <v>297</v>
      </c>
      <c r="C18" s="78">
        <v>75</v>
      </c>
      <c r="D18" s="78">
        <f>Table79[[#This Row],[2020]]/C108</f>
        <v>1.8027546090426171E-3</v>
      </c>
      <c r="F18" s="16" t="s">
        <v>1331</v>
      </c>
      <c r="G18" s="17">
        <v>15436</v>
      </c>
      <c r="H18" s="80">
        <f>Table80[[#This Row],[TRUMP VOTES]]/C108</f>
        <v>0.37103093526909114</v>
      </c>
      <c r="I18" s="18">
        <v>0.746</v>
      </c>
      <c r="J18" s="17">
        <v>4916</v>
      </c>
      <c r="K18" s="80">
        <f>Table80[[#This Row],[BIDEN VOTES]]/C108</f>
        <v>0.11816455544071341</v>
      </c>
      <c r="L18" s="18">
        <v>0.23799999999999999</v>
      </c>
      <c r="M18" s="80">
        <f>1-(Table80[[#This Row],[NbP]]+Table80[[#This Row],[NbP2]])</f>
        <v>0.51080450929019539</v>
      </c>
    </row>
    <row r="19" spans="1:13" ht="20">
      <c r="A19" s="78" t="s">
        <v>2592</v>
      </c>
      <c r="B19" s="78" t="s">
        <v>297</v>
      </c>
      <c r="C19" s="94">
        <v>2538</v>
      </c>
      <c r="D19" s="78">
        <f>Table79[[#This Row],[2020]]/C109</f>
        <v>2.0443424152721563E-3</v>
      </c>
      <c r="F19" s="16" t="s">
        <v>2626</v>
      </c>
      <c r="G19" s="17">
        <v>202699</v>
      </c>
      <c r="H19" s="80">
        <f>Table80[[#This Row],[TRUMP VOTES]]/C109</f>
        <v>0.1632727199500594</v>
      </c>
      <c r="I19" s="18">
        <v>0.32400000000000001</v>
      </c>
      <c r="J19" s="17">
        <v>416176</v>
      </c>
      <c r="K19" s="80">
        <f>Table80[[#This Row],[BIDEN VOTES]]/C109</f>
        <v>0.33522704847056928</v>
      </c>
      <c r="L19" s="18">
        <v>0.66500000000000004</v>
      </c>
      <c r="M19" s="80">
        <f>1-(Table80[[#This Row],[NbP]]+Table80[[#This Row],[NbP2]])</f>
        <v>0.50150023157937129</v>
      </c>
    </row>
    <row r="20" spans="1:13" ht="20">
      <c r="A20" s="78" t="s">
        <v>2593</v>
      </c>
      <c r="B20" s="78" t="s">
        <v>297</v>
      </c>
      <c r="C20" s="78">
        <v>33</v>
      </c>
      <c r="D20" s="78">
        <f>Table79[[#This Row],[2020]]/C110</f>
        <v>6.4218576682818611E-4</v>
      </c>
      <c r="F20" s="16" t="s">
        <v>2627</v>
      </c>
      <c r="G20" s="17">
        <v>22004</v>
      </c>
      <c r="H20" s="80">
        <f>Table80[[#This Row],[TRUMP VOTES]]/C110</f>
        <v>0.42820168525113356</v>
      </c>
      <c r="I20" s="18">
        <v>0.81100000000000005</v>
      </c>
      <c r="J20" s="17">
        <v>4731</v>
      </c>
      <c r="K20" s="80">
        <f>Table80[[#This Row],[BIDEN VOTES]]/C110</f>
        <v>9.206608675345905E-2</v>
      </c>
      <c r="L20" s="18">
        <v>0.17399999999999999</v>
      </c>
      <c r="M20" s="80">
        <f>1-(Table80[[#This Row],[NbP]]+Table80[[#This Row],[NbP2]])</f>
        <v>0.47973222799540738</v>
      </c>
    </row>
    <row r="21" spans="1:13" ht="20">
      <c r="A21" s="78" t="s">
        <v>2594</v>
      </c>
      <c r="B21" s="78" t="s">
        <v>297</v>
      </c>
      <c r="C21" s="78">
        <v>53</v>
      </c>
      <c r="D21" s="78">
        <f>Table79[[#This Row],[2020]]/C111</f>
        <v>1.3938565116768356E-3</v>
      </c>
      <c r="F21" s="16" t="s">
        <v>2628</v>
      </c>
      <c r="G21" s="17">
        <v>13038</v>
      </c>
      <c r="H21" s="80">
        <f>Table80[[#This Row],[TRUMP VOTES]]/C111</f>
        <v>0.34288870187250159</v>
      </c>
      <c r="I21" s="18">
        <v>0.67300000000000004</v>
      </c>
      <c r="J21" s="17">
        <v>5981</v>
      </c>
      <c r="K21" s="80">
        <f>Table80[[#This Row],[BIDEN VOTES]]/C111</f>
        <v>0.15729539238375762</v>
      </c>
      <c r="L21" s="18">
        <v>0.309</v>
      </c>
      <c r="M21" s="80">
        <f>1-(Table80[[#This Row],[NbP]]+Table80[[#This Row],[NbP2]])</f>
        <v>0.4998159057437408</v>
      </c>
    </row>
    <row r="22" spans="1:13" ht="20">
      <c r="A22" s="78" t="s">
        <v>50</v>
      </c>
      <c r="B22" s="78" t="s">
        <v>297</v>
      </c>
      <c r="C22" s="78">
        <v>77</v>
      </c>
      <c r="D22" s="78">
        <f>Table79[[#This Row],[2020]]/C112</f>
        <v>3.747797560524497E-4</v>
      </c>
      <c r="F22" s="16" t="s">
        <v>1457</v>
      </c>
      <c r="G22" s="17">
        <v>66356</v>
      </c>
      <c r="H22" s="80">
        <f>Table80[[#This Row],[TRUMP VOTES]]/C112</f>
        <v>0.32297253886514743</v>
      </c>
      <c r="I22" s="18">
        <v>0.52700000000000002</v>
      </c>
      <c r="J22" s="17">
        <v>57735</v>
      </c>
      <c r="K22" s="80">
        <f>Table80[[#This Row],[BIDEN VOTES]]/C112</f>
        <v>0.28101180799595044</v>
      </c>
      <c r="L22" s="18">
        <v>0.45800000000000002</v>
      </c>
      <c r="M22" s="80">
        <f>1-(Table80[[#This Row],[NbP]]+Table80[[#This Row],[NbP2]])</f>
        <v>0.39601565313890208</v>
      </c>
    </row>
    <row r="23" spans="1:13" ht="20">
      <c r="A23" s="78" t="s">
        <v>2595</v>
      </c>
      <c r="B23" s="78" t="s">
        <v>297</v>
      </c>
      <c r="C23" s="78">
        <v>106</v>
      </c>
      <c r="D23" s="78">
        <f>Table79[[#This Row],[2020]]/C113</f>
        <v>1.4243674330480119E-3</v>
      </c>
      <c r="F23" s="16" t="s">
        <v>2365</v>
      </c>
      <c r="G23" s="17">
        <v>22160</v>
      </c>
      <c r="H23" s="80">
        <f>Table80[[#This Row],[TRUMP VOTES]]/C113</f>
        <v>0.29777341807871643</v>
      </c>
      <c r="I23" s="18">
        <v>0.54900000000000004</v>
      </c>
      <c r="J23" s="17">
        <v>17493</v>
      </c>
      <c r="K23" s="80">
        <f>Table80[[#This Row],[BIDEN VOTES]]/C113</f>
        <v>0.23506093873876294</v>
      </c>
      <c r="L23" s="18">
        <v>0.434</v>
      </c>
      <c r="M23" s="80">
        <f>1-(Table80[[#This Row],[NbP]]+Table80[[#This Row],[NbP2]])</f>
        <v>0.46716564318252063</v>
      </c>
    </row>
    <row r="24" spans="1:13" ht="20">
      <c r="A24" s="78" t="s">
        <v>1197</v>
      </c>
      <c r="B24" s="78" t="s">
        <v>297</v>
      </c>
      <c r="C24" s="78">
        <v>68</v>
      </c>
      <c r="D24" s="78">
        <f>Table79[[#This Row],[2020]]/C114</f>
        <v>4.3532816061048375E-4</v>
      </c>
      <c r="F24" s="16" t="s">
        <v>1209</v>
      </c>
      <c r="G24" s="17">
        <v>50797</v>
      </c>
      <c r="H24" s="80">
        <f>Table80[[#This Row],[TRUMP VOTES]]/C114</f>
        <v>0.3251965378607462</v>
      </c>
      <c r="I24" s="18">
        <v>0.61</v>
      </c>
      <c r="J24" s="17">
        <v>31224</v>
      </c>
      <c r="K24" s="80">
        <f>Table80[[#This Row],[BIDEN VOTES]]/C114</f>
        <v>0.19989244833679035</v>
      </c>
      <c r="L24" s="18">
        <v>0.375</v>
      </c>
      <c r="M24" s="80">
        <f>1-(Table80[[#This Row],[NbP]]+Table80[[#This Row],[NbP2]])</f>
        <v>0.47491101380246348</v>
      </c>
    </row>
    <row r="25" spans="1:13" ht="20">
      <c r="A25" s="78" t="s">
        <v>94</v>
      </c>
      <c r="B25" s="78" t="s">
        <v>297</v>
      </c>
      <c r="C25" s="78">
        <v>60</v>
      </c>
      <c r="D25" s="78">
        <f>Table79[[#This Row],[2020]]/C115</f>
        <v>2.0972421266035163E-3</v>
      </c>
      <c r="F25" s="16" t="s">
        <v>193</v>
      </c>
      <c r="G25" s="17">
        <v>9473</v>
      </c>
      <c r="H25" s="80">
        <f>Table80[[#This Row],[TRUMP VOTES]]/C115</f>
        <v>0.33111957775525186</v>
      </c>
      <c r="I25" s="18">
        <v>0.751</v>
      </c>
      <c r="J25" s="17">
        <v>2975</v>
      </c>
      <c r="K25" s="80">
        <f>Table80[[#This Row],[BIDEN VOTES]]/C115</f>
        <v>0.10398825544409102</v>
      </c>
      <c r="L25" s="18">
        <v>0.23599999999999999</v>
      </c>
      <c r="M25" s="80">
        <f>1-(Table80[[#This Row],[NbP]]+Table80[[#This Row],[NbP2]])</f>
        <v>0.56489216680065713</v>
      </c>
    </row>
    <row r="26" spans="1:13" ht="20">
      <c r="A26" s="78" t="s">
        <v>96</v>
      </c>
      <c r="B26" s="78" t="s">
        <v>297</v>
      </c>
      <c r="C26" s="94">
        <v>1500</v>
      </c>
      <c r="D26" s="78">
        <f>Table79[[#This Row],[2020]]/C116</f>
        <v>1.1496763661029421E-3</v>
      </c>
      <c r="F26" s="16" t="s">
        <v>195</v>
      </c>
      <c r="G26" s="17">
        <v>211237</v>
      </c>
      <c r="H26" s="80">
        <f>Table80[[#This Row],[TRUMP VOTES]]/C116</f>
        <v>0.16190279103099145</v>
      </c>
      <c r="I26" s="18">
        <v>0.33500000000000002</v>
      </c>
      <c r="J26" s="17">
        <v>409144</v>
      </c>
      <c r="K26" s="80">
        <f>Table80[[#This Row],[BIDEN VOTES]]/C116</f>
        <v>0.3135887914218814</v>
      </c>
      <c r="L26" s="18">
        <v>0.64900000000000002</v>
      </c>
      <c r="M26" s="80">
        <f>1-(Table80[[#This Row],[NbP]]+Table80[[#This Row],[NbP2]])</f>
        <v>0.52450841754712718</v>
      </c>
    </row>
    <row r="27" spans="1:13" ht="20">
      <c r="A27" s="78" t="s">
        <v>1250</v>
      </c>
      <c r="B27" s="78" t="s">
        <v>297</v>
      </c>
      <c r="C27" s="78">
        <v>49</v>
      </c>
      <c r="D27" s="78">
        <f>Table79[[#This Row],[2020]]/C117</f>
        <v>1.1615227800692172E-3</v>
      </c>
      <c r="F27" s="16" t="s">
        <v>1343</v>
      </c>
      <c r="G27" s="17">
        <v>15731</v>
      </c>
      <c r="H27" s="80">
        <f>Table80[[#This Row],[TRUMP VOTES]]/C117</f>
        <v>0.37289622149528279</v>
      </c>
      <c r="I27" s="18">
        <v>0.69099999999999995</v>
      </c>
      <c r="J27" s="17">
        <v>6664</v>
      </c>
      <c r="K27" s="80">
        <f>Table80[[#This Row],[BIDEN VOTES]]/C117</f>
        <v>0.15796709808941356</v>
      </c>
      <c r="L27" s="18">
        <v>0.29299999999999998</v>
      </c>
      <c r="M27" s="80">
        <f>1-(Table80[[#This Row],[NbP]]+Table80[[#This Row],[NbP2]])</f>
        <v>0.46913668041530365</v>
      </c>
    </row>
    <row r="28" spans="1:13" ht="20">
      <c r="A28" s="78" t="s">
        <v>2596</v>
      </c>
      <c r="B28" s="78" t="s">
        <v>297</v>
      </c>
      <c r="C28" s="78">
        <v>84</v>
      </c>
      <c r="D28" s="78">
        <f>Table79[[#This Row],[2020]]/C118</f>
        <v>2.8004667444574095E-3</v>
      </c>
      <c r="F28" s="16" t="s">
        <v>2629</v>
      </c>
      <c r="G28" s="17">
        <v>10645</v>
      </c>
      <c r="H28" s="80">
        <f>Table80[[#This Row],[TRUMP VOTES]]/C118</f>
        <v>0.35489248208034674</v>
      </c>
      <c r="I28" s="18">
        <v>0.77100000000000002</v>
      </c>
      <c r="J28" s="17">
        <v>2990</v>
      </c>
      <c r="K28" s="80">
        <f>Table80[[#This Row],[BIDEN VOTES]]/C118</f>
        <v>9.9683280546757791E-2</v>
      </c>
      <c r="L28" s="18">
        <v>0.217</v>
      </c>
      <c r="M28" s="80">
        <f>1-(Table80[[#This Row],[NbP]]+Table80[[#This Row],[NbP2]])</f>
        <v>0.54542423737289547</v>
      </c>
    </row>
    <row r="29" spans="1:13" ht="20">
      <c r="A29" s="78" t="s">
        <v>2597</v>
      </c>
      <c r="B29" s="78" t="s">
        <v>297</v>
      </c>
      <c r="C29" s="78">
        <v>47</v>
      </c>
      <c r="D29" s="78">
        <f>Table79[[#This Row],[2020]]/C119</f>
        <v>5.0183114983396858E-4</v>
      </c>
      <c r="F29" s="16" t="s">
        <v>2630</v>
      </c>
      <c r="G29" s="17">
        <v>34143</v>
      </c>
      <c r="H29" s="80">
        <f>Table80[[#This Row],[TRUMP VOTES]]/C119</f>
        <v>0.36455363720811046</v>
      </c>
      <c r="I29" s="18">
        <v>0.61</v>
      </c>
      <c r="J29" s="17">
        <v>21201</v>
      </c>
      <c r="K29" s="80">
        <f>Table80[[#This Row],[BIDEN VOTES]]/C119</f>
        <v>0.22636855760914829</v>
      </c>
      <c r="L29" s="18">
        <v>0.379</v>
      </c>
      <c r="M29" s="80">
        <f>1-(Table80[[#This Row],[NbP]]+Table80[[#This Row],[NbP2]])</f>
        <v>0.40907780518274128</v>
      </c>
    </row>
    <row r="30" spans="1:13" ht="20">
      <c r="A30" s="78" t="s">
        <v>100</v>
      </c>
      <c r="B30" s="78" t="s">
        <v>297</v>
      </c>
      <c r="C30" s="78">
        <v>227</v>
      </c>
      <c r="D30" s="78">
        <f>Table79[[#This Row],[2020]]/C120</f>
        <v>1.3522610161616042E-3</v>
      </c>
      <c r="F30" s="16" t="s">
        <v>199</v>
      </c>
      <c r="G30" s="17">
        <v>52072</v>
      </c>
      <c r="H30" s="80">
        <f>Table80[[#This Row],[TRUMP VOTES]]/C120</f>
        <v>0.31019795433289449</v>
      </c>
      <c r="I30" s="18">
        <v>0.58799999999999997</v>
      </c>
      <c r="J30" s="17">
        <v>34798</v>
      </c>
      <c r="K30" s="80">
        <f>Table80[[#This Row],[BIDEN VOTES]]/C120</f>
        <v>0.20729506097088768</v>
      </c>
      <c r="L30" s="18">
        <v>0.39300000000000002</v>
      </c>
      <c r="M30" s="80">
        <f>1-(Table80[[#This Row],[NbP]]+Table80[[#This Row],[NbP2]])</f>
        <v>0.48250698469621778</v>
      </c>
    </row>
    <row r="31" spans="1:13" ht="20">
      <c r="A31" s="78" t="s">
        <v>2598</v>
      </c>
      <c r="B31" s="78" t="s">
        <v>297</v>
      </c>
      <c r="C31" s="78">
        <v>137</v>
      </c>
      <c r="D31" s="78">
        <f>Table79[[#This Row],[2020]]/C121</f>
        <v>3.5131808390604165E-3</v>
      </c>
      <c r="F31" s="16" t="s">
        <v>2631</v>
      </c>
      <c r="G31" s="17">
        <v>13407</v>
      </c>
      <c r="H31" s="80">
        <f>Table80[[#This Row],[TRUMP VOTES]]/C121</f>
        <v>0.34380449276848907</v>
      </c>
      <c r="I31" s="18">
        <v>0.73599999999999999</v>
      </c>
      <c r="J31" s="17">
        <v>4577</v>
      </c>
      <c r="K31" s="80">
        <f>Table80[[#This Row],[BIDEN VOTES]]/C121</f>
        <v>0.11737101241152939</v>
      </c>
      <c r="L31" s="18">
        <v>0.251</v>
      </c>
      <c r="M31" s="80">
        <f>1-(Table80[[#This Row],[NbP]]+Table80[[#This Row],[NbP2]])</f>
        <v>0.53882449481998151</v>
      </c>
    </row>
    <row r="32" spans="1:13" ht="20">
      <c r="A32" s="78" t="s">
        <v>103</v>
      </c>
      <c r="B32" s="78" t="s">
        <v>297</v>
      </c>
      <c r="C32" s="94">
        <v>1190</v>
      </c>
      <c r="D32" s="78">
        <f>Table79[[#This Row],[2020]]/C122</f>
        <v>1.4587087363169442E-3</v>
      </c>
      <c r="F32" s="16" t="s">
        <v>202</v>
      </c>
      <c r="G32" s="17">
        <v>177886</v>
      </c>
      <c r="H32" s="80">
        <f>Table80[[#This Row],[TRUMP VOTES]]/C122</f>
        <v>0.21805366577182853</v>
      </c>
      <c r="I32" s="18">
        <v>0.41299999999999998</v>
      </c>
      <c r="J32" s="17">
        <v>246266</v>
      </c>
      <c r="K32" s="80">
        <f>Table80[[#This Row],[BIDEN VOTES]]/C122</f>
        <v>0.30187425685531816</v>
      </c>
      <c r="L32" s="18">
        <v>0.57199999999999995</v>
      </c>
      <c r="M32" s="80">
        <f>1-(Table80[[#This Row],[NbP]]+Table80[[#This Row],[NbP2]])</f>
        <v>0.48007207737285329</v>
      </c>
    </row>
    <row r="33" spans="1:13" ht="20">
      <c r="A33" s="78" t="s">
        <v>104</v>
      </c>
      <c r="B33" s="78" t="s">
        <v>297</v>
      </c>
      <c r="C33" s="78">
        <v>164</v>
      </c>
      <c r="D33" s="78">
        <f>Table79[[#This Row],[2020]]/C123</f>
        <v>2.164587870388702E-3</v>
      </c>
      <c r="F33" s="16" t="s">
        <v>203</v>
      </c>
      <c r="G33" s="17">
        <v>26310</v>
      </c>
      <c r="H33" s="80">
        <f>Table80[[#This Row],[TRUMP VOTES]]/C123</f>
        <v>0.34725796871906556</v>
      </c>
      <c r="I33" s="18">
        <v>0.67900000000000005</v>
      </c>
      <c r="J33" s="17">
        <v>11757</v>
      </c>
      <c r="K33" s="80">
        <f>Table80[[#This Row],[BIDEN VOTES]]/C123</f>
        <v>0.15517719263512175</v>
      </c>
      <c r="L33" s="18">
        <v>0.30299999999999999</v>
      </c>
      <c r="M33" s="80">
        <f>1-(Table80[[#This Row],[NbP]]+Table80[[#This Row],[NbP2]])</f>
        <v>0.49756483864581269</v>
      </c>
    </row>
    <row r="34" spans="1:13" ht="20">
      <c r="A34" s="78" t="s">
        <v>106</v>
      </c>
      <c r="B34" s="78" t="s">
        <v>297</v>
      </c>
      <c r="C34" s="78">
        <v>100</v>
      </c>
      <c r="D34" s="78">
        <f>Table79[[#This Row],[2020]]/C124</f>
        <v>3.1854235020545981E-3</v>
      </c>
      <c r="F34" s="16" t="s">
        <v>205</v>
      </c>
      <c r="G34" s="17">
        <v>9949</v>
      </c>
      <c r="H34" s="80">
        <f>Table80[[#This Row],[TRUMP VOTES]]/C124</f>
        <v>0.31691778421941197</v>
      </c>
      <c r="I34" s="18">
        <v>0.751</v>
      </c>
      <c r="J34" s="17">
        <v>3062</v>
      </c>
      <c r="K34" s="80">
        <f>Table80[[#This Row],[BIDEN VOTES]]/C124</f>
        <v>9.7537667632911801E-2</v>
      </c>
      <c r="L34" s="18">
        <v>0.23100000000000001</v>
      </c>
      <c r="M34" s="80">
        <f>1-(Table80[[#This Row],[NbP]]+Table80[[#This Row],[NbP2]])</f>
        <v>0.5855445481476762</v>
      </c>
    </row>
    <row r="35" spans="1:13" ht="20">
      <c r="A35" s="78" t="s">
        <v>651</v>
      </c>
      <c r="B35" s="78" t="s">
        <v>297</v>
      </c>
      <c r="C35" s="78">
        <v>25</v>
      </c>
      <c r="D35" s="78">
        <f>Table79[[#This Row],[2020]]/C125</f>
        <v>1.6521279407877346E-3</v>
      </c>
      <c r="F35" s="16" t="s">
        <v>424</v>
      </c>
      <c r="G35" s="17">
        <v>5792</v>
      </c>
      <c r="H35" s="80">
        <f>Table80[[#This Row],[TRUMP VOTES]]/C125</f>
        <v>0.38276500132170233</v>
      </c>
      <c r="I35" s="18">
        <v>0.75700000000000001</v>
      </c>
      <c r="J35" s="17">
        <v>1768</v>
      </c>
      <c r="K35" s="80">
        <f>Table80[[#This Row],[BIDEN VOTES]]/C125</f>
        <v>0.11683848797250859</v>
      </c>
      <c r="L35" s="18">
        <v>0.23100000000000001</v>
      </c>
      <c r="M35" s="80">
        <f>1-(Table80[[#This Row],[NbP]]+Table80[[#This Row],[NbP2]])</f>
        <v>0.50039651070578905</v>
      </c>
    </row>
    <row r="36" spans="1:13" ht="20">
      <c r="A36" s="78" t="s">
        <v>110</v>
      </c>
      <c r="B36" s="78" t="s">
        <v>297</v>
      </c>
      <c r="C36" s="78">
        <v>46</v>
      </c>
      <c r="D36" s="78">
        <f>Table79[[#This Row],[2020]]/C126</f>
        <v>1.6994236737106546E-3</v>
      </c>
      <c r="F36" s="16" t="s">
        <v>209</v>
      </c>
      <c r="G36" s="17">
        <v>10479</v>
      </c>
      <c r="H36" s="80">
        <f>Table80[[#This Row],[TRUMP VOTES]]/C126</f>
        <v>0.3871361016698685</v>
      </c>
      <c r="I36" s="18">
        <v>0.71</v>
      </c>
      <c r="J36" s="17">
        <v>4062</v>
      </c>
      <c r="K36" s="80">
        <f>Table80[[#This Row],[BIDEN VOTES]]/C126</f>
        <v>0.15006649918723217</v>
      </c>
      <c r="L36" s="18">
        <v>0.27500000000000002</v>
      </c>
      <c r="M36" s="80">
        <f>1-(Table80[[#This Row],[NbP]]+Table80[[#This Row],[NbP2]])</f>
        <v>0.4627973991428993</v>
      </c>
    </row>
    <row r="37" spans="1:13" ht="20">
      <c r="A37" s="78" t="s">
        <v>2599</v>
      </c>
      <c r="B37" s="78" t="s">
        <v>297</v>
      </c>
      <c r="C37" s="78">
        <v>126</v>
      </c>
      <c r="D37" s="78">
        <f>Table79[[#This Row],[2020]]/C127</f>
        <v>2.9247910863509749E-3</v>
      </c>
      <c r="F37" s="16" t="s">
        <v>2632</v>
      </c>
      <c r="G37" s="17">
        <v>15678</v>
      </c>
      <c r="H37" s="80">
        <f>Table80[[#This Row],[TRUMP VOTES]]/C127</f>
        <v>0.3639275766016713</v>
      </c>
      <c r="I37" s="18">
        <v>0.79700000000000004</v>
      </c>
      <c r="J37" s="17">
        <v>3799</v>
      </c>
      <c r="K37" s="80">
        <f>Table80[[#This Row],[BIDEN VOTES]]/C127</f>
        <v>8.8184772516248844E-2</v>
      </c>
      <c r="L37" s="18">
        <v>0.193</v>
      </c>
      <c r="M37" s="80">
        <f>1-(Table80[[#This Row],[NbP]]+Table80[[#This Row],[NbP2]])</f>
        <v>0.5478876508820798</v>
      </c>
    </row>
    <row r="38" spans="1:13" ht="20">
      <c r="A38" s="78" t="s">
        <v>2600</v>
      </c>
      <c r="B38" s="78" t="s">
        <v>297</v>
      </c>
      <c r="C38" s="78">
        <v>50</v>
      </c>
      <c r="D38" s="78">
        <f>Table79[[#This Row],[2020]]/C128</f>
        <v>1.7664099484208295E-3</v>
      </c>
      <c r="F38" s="16" t="s">
        <v>2633</v>
      </c>
      <c r="G38" s="17">
        <v>9737</v>
      </c>
      <c r="H38" s="80">
        <f>Table80[[#This Row],[TRUMP VOTES]]/C128</f>
        <v>0.34399067335547234</v>
      </c>
      <c r="I38" s="18">
        <v>0.70499999999999996</v>
      </c>
      <c r="J38" s="17">
        <v>3880</v>
      </c>
      <c r="K38" s="80">
        <f>Table80[[#This Row],[BIDEN VOTES]]/C128</f>
        <v>0.13707341199745637</v>
      </c>
      <c r="L38" s="18">
        <v>0.28100000000000003</v>
      </c>
      <c r="M38" s="80">
        <f>1-(Table80[[#This Row],[NbP]]+Table80[[#This Row],[NbP2]])</f>
        <v>0.51893591464707134</v>
      </c>
    </row>
    <row r="39" spans="1:13" ht="20">
      <c r="A39" s="78" t="s">
        <v>2020</v>
      </c>
      <c r="B39" s="78" t="s">
        <v>297</v>
      </c>
      <c r="C39" s="78">
        <v>34</v>
      </c>
      <c r="D39" s="78">
        <f>Table79[[#This Row],[2020]]/C129</f>
        <v>7.7353596942257813E-4</v>
      </c>
      <c r="F39" s="16" t="s">
        <v>2058</v>
      </c>
      <c r="G39" s="17">
        <v>10796</v>
      </c>
      <c r="H39" s="80">
        <f>Table80[[#This Row],[TRUMP VOTES]]/C129</f>
        <v>0.24562042134959275</v>
      </c>
      <c r="I39" s="18">
        <v>0.83399999999999996</v>
      </c>
      <c r="J39" s="17">
        <v>1994</v>
      </c>
      <c r="K39" s="80">
        <f>Table80[[#This Row],[BIDEN VOTES]]/C129</f>
        <v>4.5365609500841786E-2</v>
      </c>
      <c r="L39" s="18">
        <v>0.154</v>
      </c>
      <c r="M39" s="80">
        <f>1-(Table80[[#This Row],[NbP]]+Table80[[#This Row],[NbP2]])</f>
        <v>0.70901396914956549</v>
      </c>
    </row>
    <row r="40" spans="1:13" ht="20">
      <c r="A40" s="78" t="s">
        <v>1772</v>
      </c>
      <c r="B40" s="78" t="s">
        <v>297</v>
      </c>
      <c r="C40" s="78">
        <v>104</v>
      </c>
      <c r="D40" s="78">
        <f>Table79[[#This Row],[2020]]/C130</f>
        <v>1.7847642909852243E-3</v>
      </c>
      <c r="F40" s="16" t="s">
        <v>1837</v>
      </c>
      <c r="G40" s="17">
        <v>18956</v>
      </c>
      <c r="H40" s="80">
        <f>Table80[[#This Row],[TRUMP VOTES]]/C130</f>
        <v>0.32530761442226835</v>
      </c>
      <c r="I40" s="18">
        <v>0.69699999999999995</v>
      </c>
      <c r="J40" s="17">
        <v>7759</v>
      </c>
      <c r="K40" s="80">
        <f>Table80[[#This Row],[BIDEN VOTES]]/C130</f>
        <v>0.13315371282456109</v>
      </c>
      <c r="L40" s="18">
        <v>0.28499999999999998</v>
      </c>
      <c r="M40" s="80">
        <f>1-(Table80[[#This Row],[NbP]]+Table80[[#This Row],[NbP2]])</f>
        <v>0.54153867275317058</v>
      </c>
    </row>
    <row r="41" spans="1:13" ht="20">
      <c r="A41" s="78" t="s">
        <v>114</v>
      </c>
      <c r="B41" s="78" t="s">
        <v>297</v>
      </c>
      <c r="C41" s="78">
        <v>59</v>
      </c>
      <c r="D41" s="78">
        <f>Table79[[#This Row],[2020]]/C131</f>
        <v>1.8187422934648582E-3</v>
      </c>
      <c r="F41" s="16" t="s">
        <v>213</v>
      </c>
      <c r="G41" s="17">
        <v>11309</v>
      </c>
      <c r="H41" s="80">
        <f>Table80[[#This Row],[TRUMP VOTES]]/C131</f>
        <v>0.34861282367447594</v>
      </c>
      <c r="I41" s="18">
        <v>0.76400000000000001</v>
      </c>
      <c r="J41" s="17">
        <v>3311</v>
      </c>
      <c r="K41" s="80">
        <f>Table80[[#This Row],[BIDEN VOTES]]/C131</f>
        <v>0.10206535141800246</v>
      </c>
      <c r="L41" s="18">
        <v>0.224</v>
      </c>
      <c r="M41" s="80">
        <f>1-(Table80[[#This Row],[NbP]]+Table80[[#This Row],[NbP2]])</f>
        <v>0.54932182490752157</v>
      </c>
    </row>
    <row r="42" spans="1:13" ht="20">
      <c r="A42" s="78" t="s">
        <v>115</v>
      </c>
      <c r="B42" s="78" t="s">
        <v>297</v>
      </c>
      <c r="C42" s="78">
        <v>52</v>
      </c>
      <c r="D42" s="78">
        <f>Table79[[#This Row],[2020]]/C132</f>
        <v>7.8855981681148876E-4</v>
      </c>
      <c r="F42" s="16" t="s">
        <v>214</v>
      </c>
      <c r="G42" s="17">
        <v>22828</v>
      </c>
      <c r="H42" s="80">
        <f>Table80[[#This Row],[TRUMP VOTES]]/C132</f>
        <v>0.34617775958024355</v>
      </c>
      <c r="I42" s="18">
        <v>0.68500000000000005</v>
      </c>
      <c r="J42" s="17">
        <v>10018</v>
      </c>
      <c r="K42" s="80">
        <f>Table80[[#This Row],[BIDEN VOTES]]/C132</f>
        <v>0.15191908163110565</v>
      </c>
      <c r="L42" s="18">
        <v>0.30099999999999999</v>
      </c>
      <c r="M42" s="80">
        <f>1-(Table80[[#This Row],[NbP]]+Table80[[#This Row],[NbP2]])</f>
        <v>0.50190315878865077</v>
      </c>
    </row>
    <row r="43" spans="1:13" ht="20">
      <c r="A43" s="78" t="s">
        <v>117</v>
      </c>
      <c r="B43" s="78" t="s">
        <v>297</v>
      </c>
      <c r="C43" s="78">
        <v>195</v>
      </c>
      <c r="D43" s="78">
        <f>Table79[[#This Row],[2020]]/C133</f>
        <v>3.1565656565656565E-3</v>
      </c>
      <c r="F43" s="16" t="s">
        <v>216</v>
      </c>
      <c r="G43" s="17">
        <v>22340</v>
      </c>
      <c r="H43" s="80">
        <f>Table80[[#This Row],[TRUMP VOTES]]/C133</f>
        <v>0.36162911162911165</v>
      </c>
      <c r="I43" s="18">
        <v>0.71199999999999997</v>
      </c>
      <c r="J43" s="17">
        <v>8589</v>
      </c>
      <c r="K43" s="80">
        <f>Table80[[#This Row],[BIDEN VOTES]]/C133</f>
        <v>0.13903457653457654</v>
      </c>
      <c r="L43" s="18">
        <v>0.27400000000000002</v>
      </c>
      <c r="M43" s="80">
        <f>1-(Table80[[#This Row],[NbP]]+Table80[[#This Row],[NbP2]])</f>
        <v>0.49933631183631177</v>
      </c>
    </row>
    <row r="44" spans="1:13" ht="20">
      <c r="A44" s="78" t="s">
        <v>118</v>
      </c>
      <c r="B44" s="78" t="s">
        <v>297</v>
      </c>
      <c r="C44" s="78">
        <v>179</v>
      </c>
      <c r="D44" s="78">
        <f>Table79[[#This Row],[2020]]/C134</f>
        <v>7.7909077060346892E-4</v>
      </c>
      <c r="F44" s="16" t="s">
        <v>217</v>
      </c>
      <c r="G44" s="17">
        <v>73278</v>
      </c>
      <c r="H44" s="80">
        <f>Table80[[#This Row],[TRUMP VOTES]]/C134</f>
        <v>0.31893974015799437</v>
      </c>
      <c r="I44" s="18">
        <v>0.56200000000000006</v>
      </c>
      <c r="J44" s="17">
        <v>55514</v>
      </c>
      <c r="K44" s="80">
        <f>Table80[[#This Row],[BIDEN VOTES]]/C134</f>
        <v>0.24162259798480989</v>
      </c>
      <c r="L44" s="18">
        <v>0.42499999999999999</v>
      </c>
      <c r="M44" s="80">
        <f>1-(Table80[[#This Row],[NbP]]+Table80[[#This Row],[NbP2]])</f>
        <v>0.43943766185719579</v>
      </c>
    </row>
    <row r="45" spans="1:13" ht="20">
      <c r="A45" s="78" t="s">
        <v>120</v>
      </c>
      <c r="B45" s="78" t="s">
        <v>297</v>
      </c>
      <c r="C45" s="78">
        <v>122</v>
      </c>
      <c r="D45" s="78">
        <f>Table79[[#This Row],[2020]]/C135</f>
        <v>2.0366938782324169E-3</v>
      </c>
      <c r="F45" s="16" t="s">
        <v>219</v>
      </c>
      <c r="G45" s="17">
        <v>20306</v>
      </c>
      <c r="H45" s="80">
        <f>Table80[[#This Row],[TRUMP VOTES]]/C135</f>
        <v>0.33899267124088078</v>
      </c>
      <c r="I45" s="18">
        <v>0.72199999999999998</v>
      </c>
      <c r="J45" s="17">
        <v>7489</v>
      </c>
      <c r="K45" s="80">
        <f>Table80[[#This Row],[BIDEN VOTES]]/C135</f>
        <v>0.1250229545416604</v>
      </c>
      <c r="L45" s="18">
        <v>0.26600000000000001</v>
      </c>
      <c r="M45" s="80">
        <f>1-(Table80[[#This Row],[NbP]]+Table80[[#This Row],[NbP2]])</f>
        <v>0.53598437421745881</v>
      </c>
    </row>
    <row r="46" spans="1:13" ht="20">
      <c r="A46" s="78" t="s">
        <v>2601</v>
      </c>
      <c r="B46" s="78" t="s">
        <v>297</v>
      </c>
      <c r="C46" s="78">
        <v>251</v>
      </c>
      <c r="D46" s="78">
        <f>Table79[[#This Row],[2020]]/C136</f>
        <v>1.4309413998141486E-3</v>
      </c>
      <c r="F46" s="16" t="s">
        <v>2634</v>
      </c>
      <c r="G46" s="17">
        <v>59514</v>
      </c>
      <c r="H46" s="80">
        <f>Table80[[#This Row],[TRUMP VOTES]]/C136</f>
        <v>0.33928703772326391</v>
      </c>
      <c r="I46" s="18">
        <v>0.63200000000000001</v>
      </c>
      <c r="J46" s="17">
        <v>33055</v>
      </c>
      <c r="K46" s="80">
        <f>Table80[[#This Row],[BIDEN VOTES]]/C136</f>
        <v>0.18844529072054456</v>
      </c>
      <c r="L46" s="18">
        <v>0.35099999999999998</v>
      </c>
      <c r="M46" s="80">
        <f>1-(Table80[[#This Row],[NbP]]+Table80[[#This Row],[NbP2]])</f>
        <v>0.47226767155619154</v>
      </c>
    </row>
    <row r="47" spans="1:13" ht="20">
      <c r="A47" s="78" t="s">
        <v>869</v>
      </c>
      <c r="B47" s="78" t="s">
        <v>297</v>
      </c>
      <c r="C47" s="78">
        <v>167</v>
      </c>
      <c r="D47" s="78">
        <f>Table79[[#This Row],[2020]]/C137</f>
        <v>3.6853139137151053E-3</v>
      </c>
      <c r="F47" s="16" t="s">
        <v>837</v>
      </c>
      <c r="G47" s="17">
        <v>17964</v>
      </c>
      <c r="H47" s="80">
        <f>Table80[[#This Row],[TRUMP VOTES]]/C137</f>
        <v>0.3964250248262165</v>
      </c>
      <c r="I47" s="18">
        <v>0.76900000000000002</v>
      </c>
      <c r="J47" s="17">
        <v>5055</v>
      </c>
      <c r="K47" s="80">
        <f>Table80[[#This Row],[BIDEN VOTES]]/C137</f>
        <v>0.11155246607083748</v>
      </c>
      <c r="L47" s="18">
        <v>0.216</v>
      </c>
      <c r="M47" s="80">
        <f>1-(Table80[[#This Row],[NbP]]+Table80[[#This Row],[NbP2]])</f>
        <v>0.49202250910294598</v>
      </c>
    </row>
    <row r="48" spans="1:13" ht="20">
      <c r="A48" s="78" t="s">
        <v>2602</v>
      </c>
      <c r="B48" s="78" t="s">
        <v>297</v>
      </c>
      <c r="C48" s="78">
        <v>481</v>
      </c>
      <c r="D48" s="78">
        <f>Table79[[#This Row],[2020]]/C138</f>
        <v>1.5559595515213468E-3</v>
      </c>
      <c r="F48" s="16" t="s">
        <v>2635</v>
      </c>
      <c r="G48" s="17">
        <v>79520</v>
      </c>
      <c r="H48" s="80">
        <f>Table80[[#This Row],[TRUMP VOTES]]/C138</f>
        <v>0.25723472668810288</v>
      </c>
      <c r="I48" s="18">
        <v>0.505</v>
      </c>
      <c r="J48" s="17">
        <v>75667</v>
      </c>
      <c r="K48" s="80">
        <f>Table80[[#This Row],[BIDEN VOTES]]/C138</f>
        <v>0.24477087606021983</v>
      </c>
      <c r="L48" s="18">
        <v>0.48099999999999998</v>
      </c>
      <c r="M48" s="80">
        <f>1-(Table80[[#This Row],[NbP]]+Table80[[#This Row],[NbP2]])</f>
        <v>0.49799439725167727</v>
      </c>
    </row>
    <row r="49" spans="1:13" ht="20">
      <c r="A49" s="78" t="s">
        <v>1510</v>
      </c>
      <c r="B49" s="78" t="s">
        <v>297</v>
      </c>
      <c r="C49" s="94">
        <v>1351</v>
      </c>
      <c r="D49" s="78">
        <f>Table79[[#This Row],[2020]]/C139</f>
        <v>3.1395313709132061E-3</v>
      </c>
      <c r="F49" s="16" t="s">
        <v>1553</v>
      </c>
      <c r="G49" s="17">
        <v>81763</v>
      </c>
      <c r="H49" s="80">
        <f>Table80[[#This Row],[TRUMP VOTES]]/C139</f>
        <v>0.19000555401922758</v>
      </c>
      <c r="I49" s="18">
        <v>0.40799999999999997</v>
      </c>
      <c r="J49" s="17">
        <v>115411</v>
      </c>
      <c r="K49" s="80">
        <f>Table80[[#This Row],[BIDEN VOTES]]/C139</f>
        <v>0.26819870840004739</v>
      </c>
      <c r="L49" s="18">
        <v>0.57499999999999996</v>
      </c>
      <c r="M49" s="80">
        <f>1-(Table80[[#This Row],[NbP]]+Table80[[#This Row],[NbP2]])</f>
        <v>0.54179573758072497</v>
      </c>
    </row>
    <row r="50" spans="1:13" ht="20">
      <c r="A50" s="78" t="s">
        <v>125</v>
      </c>
      <c r="B50" s="78" t="s">
        <v>297</v>
      </c>
      <c r="C50" s="78">
        <v>40</v>
      </c>
      <c r="D50" s="78">
        <f>Table79[[#This Row],[2020]]/C140</f>
        <v>9.0399566082082806E-4</v>
      </c>
      <c r="F50" s="16" t="s">
        <v>226</v>
      </c>
      <c r="G50" s="17">
        <v>13835</v>
      </c>
      <c r="H50" s="80">
        <f>Table80[[#This Row],[TRUMP VOTES]]/C140</f>
        <v>0.31266949918640391</v>
      </c>
      <c r="I50" s="18">
        <v>0.69699999999999995</v>
      </c>
      <c r="J50" s="17">
        <v>5698</v>
      </c>
      <c r="K50" s="80">
        <f>Table80[[#This Row],[BIDEN VOTES]]/C140</f>
        <v>0.12877418188392695</v>
      </c>
      <c r="L50" s="18">
        <v>0.28699999999999998</v>
      </c>
      <c r="M50" s="80">
        <f>1-(Table80[[#This Row],[NbP]]+Table80[[#This Row],[NbP2]])</f>
        <v>0.55855631892966917</v>
      </c>
    </row>
    <row r="51" spans="1:13" ht="20">
      <c r="A51" s="78" t="s">
        <v>2603</v>
      </c>
      <c r="B51" s="78" t="s">
        <v>297</v>
      </c>
      <c r="C51" s="78">
        <v>123</v>
      </c>
      <c r="D51" s="78">
        <f>Table79[[#This Row],[2020]]/C141</f>
        <v>5.3840631730078966E-4</v>
      </c>
      <c r="F51" s="16" t="s">
        <v>2636</v>
      </c>
      <c r="G51" s="17">
        <v>59903</v>
      </c>
      <c r="H51" s="80">
        <f>Table80[[#This Row],[TRUMP VOTES]]/C141</f>
        <v>0.26221263109974963</v>
      </c>
      <c r="I51" s="18">
        <v>0.504</v>
      </c>
      <c r="J51" s="17">
        <v>57641</v>
      </c>
      <c r="K51" s="80">
        <f>Table80[[#This Row],[BIDEN VOTES]]/C141</f>
        <v>0.25231120760597414</v>
      </c>
      <c r="L51" s="18">
        <v>0.48499999999999999</v>
      </c>
      <c r="M51" s="80">
        <f>1-(Table80[[#This Row],[NbP]]+Table80[[#This Row],[NbP2]])</f>
        <v>0.48547616129427618</v>
      </c>
    </row>
    <row r="52" spans="1:13" ht="20">
      <c r="A52" s="78" t="s">
        <v>126</v>
      </c>
      <c r="B52" s="78" t="s">
        <v>297</v>
      </c>
      <c r="C52" s="78">
        <v>406</v>
      </c>
      <c r="D52" s="78">
        <f>Table79[[#This Row],[2020]]/C142</f>
        <v>6.2290001380812835E-3</v>
      </c>
      <c r="F52" s="16" t="s">
        <v>227</v>
      </c>
      <c r="G52" s="17">
        <v>19023</v>
      </c>
      <c r="H52" s="80">
        <f>Table80[[#This Row],[TRUMP VOTES]]/C142</f>
        <v>0.29185780696236518</v>
      </c>
      <c r="I52" s="18">
        <v>0.68400000000000005</v>
      </c>
      <c r="J52" s="17">
        <v>8269</v>
      </c>
      <c r="K52" s="80">
        <f>Table80[[#This Row],[BIDEN VOTES]]/C142</f>
        <v>0.12686601512757176</v>
      </c>
      <c r="L52" s="18">
        <v>0.29699999999999999</v>
      </c>
      <c r="M52" s="80">
        <f>1-(Table80[[#This Row],[NbP]]+Table80[[#This Row],[NbP2]])</f>
        <v>0.58127617791006303</v>
      </c>
    </row>
    <row r="53" spans="1:13" ht="20">
      <c r="A53" s="78" t="s">
        <v>704</v>
      </c>
      <c r="B53" s="78" t="s">
        <v>297</v>
      </c>
      <c r="C53" s="78">
        <v>291</v>
      </c>
      <c r="D53" s="78">
        <f>Table79[[#This Row],[2020]]/C143</f>
        <v>1.6246454811407133E-3</v>
      </c>
      <c r="F53" s="16" t="s">
        <v>476</v>
      </c>
      <c r="G53" s="17">
        <v>64598</v>
      </c>
      <c r="H53" s="80">
        <f>Table80[[#This Row],[TRUMP VOTES]]/C143</f>
        <v>0.36064896491659038</v>
      </c>
      <c r="I53" s="18">
        <v>0.61099999999999999</v>
      </c>
      <c r="J53" s="17">
        <v>39800</v>
      </c>
      <c r="K53" s="80">
        <f>Table80[[#This Row],[BIDEN VOTES]]/C143</f>
        <v>0.22220237164742401</v>
      </c>
      <c r="L53" s="18">
        <v>0.376</v>
      </c>
      <c r="M53" s="80">
        <f>1-(Table80[[#This Row],[NbP]]+Table80[[#This Row],[NbP2]])</f>
        <v>0.41714866343598556</v>
      </c>
    </row>
    <row r="54" spans="1:13" ht="20">
      <c r="A54" s="78" t="s">
        <v>131</v>
      </c>
      <c r="B54" s="78" t="s">
        <v>297</v>
      </c>
      <c r="C54" s="78">
        <v>98</v>
      </c>
      <c r="D54" s="78">
        <f>Table79[[#This Row],[2020]]/C144</f>
        <v>4.2656916514320535E-3</v>
      </c>
      <c r="F54" s="16" t="s">
        <v>230</v>
      </c>
      <c r="G54" s="17">
        <v>8316</v>
      </c>
      <c r="H54" s="80">
        <f>Table80[[#This Row],[TRUMP VOTES]]/C144</f>
        <v>0.36197440585009139</v>
      </c>
      <c r="I54" s="18">
        <v>0.75900000000000001</v>
      </c>
      <c r="J54" s="17">
        <v>2492</v>
      </c>
      <c r="K54" s="80">
        <f>Table80[[#This Row],[BIDEN VOTES]]/C144</f>
        <v>0.10847044485070079</v>
      </c>
      <c r="L54" s="18">
        <v>0.22800000000000001</v>
      </c>
      <c r="M54" s="80">
        <f>1-(Table80[[#This Row],[NbP]]+Table80[[#This Row],[NbP2]])</f>
        <v>0.52955514929920788</v>
      </c>
    </row>
    <row r="55" spans="1:13" ht="20">
      <c r="A55" s="78" t="s">
        <v>812</v>
      </c>
      <c r="B55" s="78" t="s">
        <v>297</v>
      </c>
      <c r="C55" s="78">
        <v>47</v>
      </c>
      <c r="D55" s="78">
        <f>Table79[[#This Row],[2020]]/C145</f>
        <v>1.1453916264561096E-3</v>
      </c>
      <c r="F55" s="16" t="s">
        <v>794</v>
      </c>
      <c r="G55" s="17">
        <v>19452</v>
      </c>
      <c r="H55" s="80">
        <f>Table80[[#This Row],[TRUMP VOTES]]/C145</f>
        <v>0.47404591314519667</v>
      </c>
      <c r="I55" s="18">
        <v>0.81899999999999995</v>
      </c>
      <c r="J55" s="17">
        <v>4030</v>
      </c>
      <c r="K55" s="80">
        <f>Table80[[#This Row],[BIDEN VOTES]]/C145</f>
        <v>9.8211239459960034E-2</v>
      </c>
      <c r="L55" s="18">
        <v>0.17</v>
      </c>
      <c r="M55" s="80">
        <f>1-(Table80[[#This Row],[NbP]]+Table80[[#This Row],[NbP2]])</f>
        <v>0.42774284739484325</v>
      </c>
    </row>
    <row r="56" spans="1:13" ht="20">
      <c r="A56" s="78" t="s">
        <v>1431</v>
      </c>
      <c r="B56" s="78" t="s">
        <v>297</v>
      </c>
      <c r="C56" s="78">
        <v>88</v>
      </c>
      <c r="D56" s="78">
        <f>Table79[[#This Row],[2020]]/C146</f>
        <v>8.2960951788374157E-4</v>
      </c>
      <c r="F56" s="16" t="s">
        <v>1468</v>
      </c>
      <c r="G56" s="17">
        <v>41371</v>
      </c>
      <c r="H56" s="80">
        <f>Table80[[#This Row],[TRUMP VOTES]]/C146</f>
        <v>0.39002017459509397</v>
      </c>
      <c r="I56" s="18">
        <v>0.71399999999999997</v>
      </c>
      <c r="J56" s="17">
        <v>15663</v>
      </c>
      <c r="K56" s="80">
        <f>Table80[[#This Row],[BIDEN VOTES]]/C146</f>
        <v>0.14766106680242094</v>
      </c>
      <c r="L56" s="18">
        <v>0.27</v>
      </c>
      <c r="M56" s="80">
        <f>1-(Table80[[#This Row],[NbP]]+Table80[[#This Row],[NbP2]])</f>
        <v>0.46231875860248506</v>
      </c>
    </row>
    <row r="57" spans="1:13" ht="20">
      <c r="A57" s="78" t="s">
        <v>132</v>
      </c>
      <c r="B57" s="78" t="s">
        <v>297</v>
      </c>
      <c r="C57" s="78">
        <v>19</v>
      </c>
      <c r="D57" s="78">
        <f>Table79[[#This Row],[2020]]/C147</f>
        <v>1.3741230925001808E-3</v>
      </c>
      <c r="F57" s="16" t="s">
        <v>231</v>
      </c>
      <c r="G57" s="17">
        <v>5463</v>
      </c>
      <c r="H57" s="80">
        <f>Table80[[#This Row],[TRUMP VOTES]]/C147</f>
        <v>0.39509655022781515</v>
      </c>
      <c r="I57" s="18">
        <v>0.76400000000000001</v>
      </c>
      <c r="J57" s="17">
        <v>1605</v>
      </c>
      <c r="K57" s="80">
        <f>Table80[[#This Row],[BIDEN VOTES]]/C147</f>
        <v>0.11607724018225211</v>
      </c>
      <c r="L57" s="18">
        <v>0.22500000000000001</v>
      </c>
      <c r="M57" s="80">
        <f>1-(Table80[[#This Row],[NbP]]+Table80[[#This Row],[NbP2]])</f>
        <v>0.48882620958993273</v>
      </c>
    </row>
    <row r="58" spans="1:13" ht="20">
      <c r="A58" s="78" t="s">
        <v>133</v>
      </c>
      <c r="B58" s="78" t="s">
        <v>297</v>
      </c>
      <c r="C58" s="94">
        <v>1014</v>
      </c>
      <c r="D58" s="78">
        <f>Table79[[#This Row],[2020]]/C148</f>
        <v>1.9060580313841665E-3</v>
      </c>
      <c r="F58" s="16" t="s">
        <v>232</v>
      </c>
      <c r="G58" s="17">
        <v>129034</v>
      </c>
      <c r="H58" s="80">
        <f>Table80[[#This Row],[TRUMP VOTES]]/C148</f>
        <v>0.24255058384775596</v>
      </c>
      <c r="I58" s="18">
        <v>0.48099999999999998</v>
      </c>
      <c r="J58" s="17">
        <v>135064</v>
      </c>
      <c r="K58" s="80">
        <f>Table80[[#This Row],[BIDEN VOTES]]/C148</f>
        <v>0.25388542598705233</v>
      </c>
      <c r="L58" s="18">
        <v>0.503</v>
      </c>
      <c r="M58" s="80">
        <f>1-(Table80[[#This Row],[NbP]]+Table80[[#This Row],[NbP2]])</f>
        <v>0.50356399016519171</v>
      </c>
    </row>
    <row r="59" spans="1:13" ht="20">
      <c r="A59" s="78" t="s">
        <v>135</v>
      </c>
      <c r="B59" s="78" t="s">
        <v>297</v>
      </c>
      <c r="C59" s="78">
        <v>14</v>
      </c>
      <c r="D59" s="78">
        <f>Table79[[#This Row],[2020]]/C149</f>
        <v>9.6173662155663942E-4</v>
      </c>
      <c r="F59" s="16" t="s">
        <v>234</v>
      </c>
      <c r="G59" s="17">
        <v>5041</v>
      </c>
      <c r="H59" s="80">
        <f>Table80[[#This Row],[TRUMP VOTES]]/C149</f>
        <v>0.34629387923335853</v>
      </c>
      <c r="I59" s="18">
        <v>0.73599999999999999</v>
      </c>
      <c r="J59" s="17">
        <v>1725</v>
      </c>
      <c r="K59" s="80">
        <f>Table80[[#This Row],[BIDEN VOTES]]/C149</f>
        <v>0.11849969087037164</v>
      </c>
      <c r="L59" s="18">
        <v>0.252</v>
      </c>
      <c r="M59" s="80">
        <f>1-(Table80[[#This Row],[NbP]]+Table80[[#This Row],[NbP2]])</f>
        <v>0.53520642989626976</v>
      </c>
    </row>
    <row r="60" spans="1:13" ht="20">
      <c r="A60" s="78" t="s">
        <v>305</v>
      </c>
      <c r="B60" s="78" t="s">
        <v>297</v>
      </c>
      <c r="C60" s="78">
        <v>26</v>
      </c>
      <c r="D60" s="78">
        <f>Table79[[#This Row],[2020]]/C150</f>
        <v>7.3972914532832593E-4</v>
      </c>
      <c r="F60" s="16" t="s">
        <v>286</v>
      </c>
      <c r="G60" s="17">
        <v>14077</v>
      </c>
      <c r="H60" s="80">
        <f>Table80[[#This Row],[TRUMP VOTES]]/C150</f>
        <v>0.40050642995334018</v>
      </c>
      <c r="I60" s="18">
        <v>0.76300000000000001</v>
      </c>
      <c r="J60" s="17">
        <v>4048</v>
      </c>
      <c r="K60" s="80">
        <f>Table80[[#This Row],[BIDEN VOTES]]/C150</f>
        <v>0.11517013770342552</v>
      </c>
      <c r="L60" s="18">
        <v>0.219</v>
      </c>
      <c r="M60" s="80">
        <f>1-(Table80[[#This Row],[NbP]]+Table80[[#This Row],[NbP2]])</f>
        <v>0.48432343234323427</v>
      </c>
    </row>
    <row r="61" spans="1:13" ht="20">
      <c r="A61" s="78" t="s">
        <v>2604</v>
      </c>
      <c r="B61" s="78" t="s">
        <v>297</v>
      </c>
      <c r="C61" s="78">
        <v>281</v>
      </c>
      <c r="D61" s="78">
        <f>Table79[[#This Row],[2020]]/C151</f>
        <v>3.2661885555542642E-3</v>
      </c>
      <c r="F61" s="16" t="s">
        <v>2637</v>
      </c>
      <c r="G61" s="17">
        <v>27867</v>
      </c>
      <c r="H61" s="80">
        <f>Table80[[#This Row],[TRUMP VOTES]]/C151</f>
        <v>0.32391059244708426</v>
      </c>
      <c r="I61" s="18">
        <v>0.68899999999999995</v>
      </c>
      <c r="J61" s="17">
        <v>11971</v>
      </c>
      <c r="K61" s="80">
        <f>Table80[[#This Row],[BIDEN VOTES]]/C151</f>
        <v>0.13914428184533842</v>
      </c>
      <c r="L61" s="18">
        <v>0.29599999999999999</v>
      </c>
      <c r="M61" s="80">
        <f>1-(Table80[[#This Row],[NbP]]+Table80[[#This Row],[NbP2]])</f>
        <v>0.53694512570757735</v>
      </c>
    </row>
    <row r="62" spans="1:13" ht="20">
      <c r="A62" s="78" t="s">
        <v>1432</v>
      </c>
      <c r="B62" s="78" t="s">
        <v>297</v>
      </c>
      <c r="C62" s="78">
        <v>28</v>
      </c>
      <c r="D62" s="78">
        <f>Table79[[#This Row],[2020]]/C152</f>
        <v>1.9430950728660653E-3</v>
      </c>
      <c r="F62" s="16" t="s">
        <v>1469</v>
      </c>
      <c r="G62" s="17">
        <v>5135</v>
      </c>
      <c r="H62" s="80">
        <f>Table80[[#This Row],[TRUMP VOTES]]/C152</f>
        <v>0.35634975711311589</v>
      </c>
      <c r="I62" s="18">
        <v>0.81</v>
      </c>
      <c r="J62" s="17">
        <v>1170</v>
      </c>
      <c r="K62" s="80">
        <f>Table80[[#This Row],[BIDEN VOTES]]/C152</f>
        <v>8.1193615544760581E-2</v>
      </c>
      <c r="L62" s="18">
        <v>0.184</v>
      </c>
      <c r="M62" s="80">
        <f>1-(Table80[[#This Row],[NbP]]+Table80[[#This Row],[NbP2]])</f>
        <v>0.56245662734212354</v>
      </c>
    </row>
    <row r="63" spans="1:13" ht="20">
      <c r="A63" s="78" t="s">
        <v>1802</v>
      </c>
      <c r="B63" s="78" t="s">
        <v>297</v>
      </c>
      <c r="C63" s="78">
        <v>63</v>
      </c>
      <c r="D63" s="78">
        <f>Table79[[#This Row],[2020]]/C153</f>
        <v>1.5533693320511873E-3</v>
      </c>
      <c r="F63" s="16" t="s">
        <v>1867</v>
      </c>
      <c r="G63" s="17">
        <v>14628</v>
      </c>
      <c r="H63" s="80">
        <f>Table80[[#This Row],[TRUMP VOTES]]/C153</f>
        <v>0.36067756490864711</v>
      </c>
      <c r="I63" s="18">
        <v>0.60899999999999999</v>
      </c>
      <c r="J63" s="17">
        <v>9008</v>
      </c>
      <c r="K63" s="80">
        <f>Table80[[#This Row],[BIDEN VOTES]]/C153</f>
        <v>0.22210715782725546</v>
      </c>
      <c r="L63" s="18">
        <v>0.375</v>
      </c>
      <c r="M63" s="80">
        <f>1-(Table80[[#This Row],[NbP]]+Table80[[#This Row],[NbP2]])</f>
        <v>0.41721527726409746</v>
      </c>
    </row>
    <row r="64" spans="1:13" ht="20">
      <c r="A64" s="78" t="s">
        <v>1274</v>
      </c>
      <c r="B64" s="78" t="s">
        <v>297</v>
      </c>
      <c r="C64" s="78">
        <v>33</v>
      </c>
      <c r="D64" s="78">
        <f>Table79[[#This Row],[2020]]/C154</f>
        <v>1.7607512538683171E-3</v>
      </c>
      <c r="F64" s="16" t="s">
        <v>1367</v>
      </c>
      <c r="G64" s="17">
        <v>7086</v>
      </c>
      <c r="H64" s="80">
        <f>Table80[[#This Row],[TRUMP VOTES]]/C154</f>
        <v>0.37808131469426953</v>
      </c>
      <c r="I64" s="18">
        <v>0.749</v>
      </c>
      <c r="J64" s="17">
        <v>2213</v>
      </c>
      <c r="K64" s="80">
        <f>Table80[[#This Row],[BIDEN VOTES]]/C154</f>
        <v>0.11807704620638139</v>
      </c>
      <c r="L64" s="18">
        <v>0.23400000000000001</v>
      </c>
      <c r="M64" s="80">
        <f>1-(Table80[[#This Row],[NbP]]+Table80[[#This Row],[NbP2]])</f>
        <v>0.50384163909934909</v>
      </c>
    </row>
    <row r="65" spans="1:13" ht="20">
      <c r="A65" s="78" t="s">
        <v>138</v>
      </c>
      <c r="B65" s="78" t="s">
        <v>297</v>
      </c>
      <c r="C65" s="78">
        <v>49</v>
      </c>
      <c r="D65" s="78">
        <f>Table79[[#This Row],[2020]]/C155</f>
        <v>1.3582437077281294E-3</v>
      </c>
      <c r="F65" s="16" t="s">
        <v>237</v>
      </c>
      <c r="G65" s="17">
        <v>12357</v>
      </c>
      <c r="H65" s="80">
        <f>Table80[[#This Row],[TRUMP VOTES]]/C155</f>
        <v>0.34252688768156114</v>
      </c>
      <c r="I65" s="18">
        <v>0.74099999999999999</v>
      </c>
      <c r="J65" s="17">
        <v>4098</v>
      </c>
      <c r="K65" s="80">
        <f>Table80[[#This Row],[BIDEN VOTES]]/C155</f>
        <v>0.11359352478101785</v>
      </c>
      <c r="L65" s="18">
        <v>0.246</v>
      </c>
      <c r="M65" s="80">
        <f>1-(Table80[[#This Row],[NbP]]+Table80[[#This Row],[NbP2]])</f>
        <v>0.54387958753742094</v>
      </c>
    </row>
    <row r="66" spans="1:13" ht="20">
      <c r="A66" s="78" t="s">
        <v>2605</v>
      </c>
      <c r="B66" s="78" t="s">
        <v>297</v>
      </c>
      <c r="C66" s="78">
        <v>35</v>
      </c>
      <c r="D66" s="78">
        <f>Table79[[#This Row],[2020]]/C156</f>
        <v>6.0228524229074892E-4</v>
      </c>
      <c r="F66" s="16" t="s">
        <v>2638</v>
      </c>
      <c r="G66" s="17">
        <v>20593</v>
      </c>
      <c r="H66" s="80">
        <f>Table80[[#This Row],[TRUMP VOTES]]/C156</f>
        <v>0.35436742841409691</v>
      </c>
      <c r="I66" s="18">
        <v>0.72899999999999998</v>
      </c>
      <c r="J66" s="17">
        <v>7304</v>
      </c>
      <c r="K66" s="80">
        <f>Table80[[#This Row],[BIDEN VOTES]]/C156</f>
        <v>0.12568832599118943</v>
      </c>
      <c r="L66" s="18">
        <v>0.25800000000000001</v>
      </c>
      <c r="M66" s="80">
        <f>1-(Table80[[#This Row],[NbP]]+Table80[[#This Row],[NbP2]])</f>
        <v>0.51994424559471364</v>
      </c>
    </row>
    <row r="67" spans="1:13" ht="20">
      <c r="A67" s="78" t="s">
        <v>913</v>
      </c>
      <c r="B67" s="78" t="s">
        <v>297</v>
      </c>
      <c r="C67" s="78">
        <v>44</v>
      </c>
      <c r="D67" s="78">
        <f>Table79[[#This Row],[2020]]/C157</f>
        <v>1.5762699720570322E-3</v>
      </c>
      <c r="F67" s="16" t="s">
        <v>945</v>
      </c>
      <c r="G67" s="17">
        <v>9157</v>
      </c>
      <c r="H67" s="80">
        <f>Table80[[#This Row],[TRUMP VOTES]]/C157</f>
        <v>0.3280432757755965</v>
      </c>
      <c r="I67" s="18">
        <v>0.73799999999999999</v>
      </c>
      <c r="J67" s="17">
        <v>3110</v>
      </c>
      <c r="K67" s="80">
        <f>Table80[[#This Row],[BIDEN VOTES]]/C157</f>
        <v>0.11141362757039479</v>
      </c>
      <c r="L67" s="18">
        <v>0.251</v>
      </c>
      <c r="M67" s="80">
        <f>1-(Table80[[#This Row],[NbP]]+Table80[[#This Row],[NbP2]])</f>
        <v>0.5605430966540087</v>
      </c>
    </row>
    <row r="68" spans="1:13" ht="20">
      <c r="A68" s="78" t="s">
        <v>2606</v>
      </c>
      <c r="B68" s="78" t="s">
        <v>297</v>
      </c>
      <c r="C68" s="78">
        <v>193</v>
      </c>
      <c r="D68" s="78">
        <f>Table79[[#This Row],[2020]]/C158</f>
        <v>1.1878677466210395E-3</v>
      </c>
      <c r="F68" s="16" t="s">
        <v>2639</v>
      </c>
      <c r="G68" s="17">
        <v>45990</v>
      </c>
      <c r="H68" s="80">
        <f>Table80[[#This Row],[TRUMP VOTES]]/C158</f>
        <v>0.28305718998498242</v>
      </c>
      <c r="I68" s="18">
        <v>0.55500000000000005</v>
      </c>
      <c r="J68" s="17">
        <v>35661</v>
      </c>
      <c r="K68" s="80">
        <f>Table80[[#This Row],[BIDEN VOTES]]/C158</f>
        <v>0.21948472389768334</v>
      </c>
      <c r="L68" s="18">
        <v>0.43</v>
      </c>
      <c r="M68" s="80">
        <f>1-(Table80[[#This Row],[NbP]]+Table80[[#This Row],[NbP2]])</f>
        <v>0.49745808611733422</v>
      </c>
    </row>
    <row r="69" spans="1:13" ht="20">
      <c r="A69" s="78" t="s">
        <v>2607</v>
      </c>
      <c r="B69" s="78" t="s">
        <v>297</v>
      </c>
      <c r="C69" s="78">
        <v>85</v>
      </c>
      <c r="D69" s="78">
        <f>Table79[[#This Row],[2020]]/C159</f>
        <v>2.0734235882424686E-3</v>
      </c>
      <c r="F69" s="16" t="s">
        <v>2640</v>
      </c>
      <c r="G69" s="17">
        <v>17022</v>
      </c>
      <c r="H69" s="80">
        <f>Table80[[#This Row],[TRUMP VOTES]]/C159</f>
        <v>0.41522136845956825</v>
      </c>
      <c r="I69" s="18">
        <v>0.78100000000000003</v>
      </c>
      <c r="J69" s="17">
        <v>4493</v>
      </c>
      <c r="K69" s="80">
        <f>Table80[[#This Row],[BIDEN VOTES]]/C159</f>
        <v>0.10959873155262836</v>
      </c>
      <c r="L69" s="18">
        <v>0.20599999999999999</v>
      </c>
      <c r="M69" s="80">
        <f>1-(Table80[[#This Row],[NbP]]+Table80[[#This Row],[NbP2]])</f>
        <v>0.47517989998780341</v>
      </c>
    </row>
    <row r="70" spans="1:13" ht="20">
      <c r="A70" s="78" t="s">
        <v>141</v>
      </c>
      <c r="B70" s="78" t="s">
        <v>297</v>
      </c>
      <c r="C70" s="78">
        <v>43</v>
      </c>
      <c r="D70" s="78">
        <f>Table79[[#This Row],[2020]]/C160</f>
        <v>1.2708357961934034E-3</v>
      </c>
      <c r="F70" s="16" t="s">
        <v>240</v>
      </c>
      <c r="G70" s="17">
        <v>16412</v>
      </c>
      <c r="H70" s="80">
        <f>Table80[[#This Row],[TRUMP VOTES]]/C160</f>
        <v>0.48504551365409621</v>
      </c>
      <c r="I70" s="18">
        <v>0.82399999999999995</v>
      </c>
      <c r="J70" s="17">
        <v>3195</v>
      </c>
      <c r="K70" s="80">
        <f>Table80[[#This Row],[BIDEN VOTES]]/C160</f>
        <v>9.4426055089254043E-2</v>
      </c>
      <c r="L70" s="18">
        <v>0.16</v>
      </c>
      <c r="M70" s="80">
        <f>1-(Table80[[#This Row],[NbP]]+Table80[[#This Row],[NbP2]])</f>
        <v>0.42052843125664974</v>
      </c>
    </row>
    <row r="71" spans="1:13" ht="20">
      <c r="A71" s="78" t="s">
        <v>2538</v>
      </c>
      <c r="B71" s="78" t="s">
        <v>297</v>
      </c>
      <c r="C71" s="78">
        <v>231</v>
      </c>
      <c r="D71" s="78">
        <f>Table79[[#This Row],[2020]]/C161</f>
        <v>1.9084127128375867E-3</v>
      </c>
      <c r="F71" s="16" t="s">
        <v>2573</v>
      </c>
      <c r="G71" s="17">
        <v>41472</v>
      </c>
      <c r="H71" s="80">
        <f>Table80[[#This Row],[TRUMP VOTES]]/C161</f>
        <v>0.34262204340606228</v>
      </c>
      <c r="I71" s="18">
        <v>0.69199999999999995</v>
      </c>
      <c r="J71" s="17">
        <v>17640</v>
      </c>
      <c r="K71" s="80">
        <f>Table80[[#This Row],[BIDEN VOTES]]/C161</f>
        <v>0.14573333443487024</v>
      </c>
      <c r="L71" s="18">
        <v>0.29399999999999998</v>
      </c>
      <c r="M71" s="80">
        <f>1-(Table80[[#This Row],[NbP]]+Table80[[#This Row],[NbP2]])</f>
        <v>0.51164462215906747</v>
      </c>
    </row>
    <row r="72" spans="1:13" ht="20">
      <c r="A72" s="78" t="s">
        <v>2608</v>
      </c>
      <c r="B72" s="78" t="s">
        <v>297</v>
      </c>
      <c r="C72" s="78">
        <v>102</v>
      </c>
      <c r="D72" s="78">
        <f>Table79[[#This Row],[2020]]/C162</f>
        <v>1.3278483649239742E-3</v>
      </c>
      <c r="F72" s="16" t="s">
        <v>2641</v>
      </c>
      <c r="G72" s="17">
        <v>22278</v>
      </c>
      <c r="H72" s="80">
        <f>Table80[[#This Row],[TRUMP VOTES]]/C162</f>
        <v>0.29001770464486565</v>
      </c>
      <c r="I72" s="18">
        <v>0.66900000000000004</v>
      </c>
      <c r="J72" s="17">
        <v>10557</v>
      </c>
      <c r="K72" s="80">
        <f>Table80[[#This Row],[BIDEN VOTES]]/C162</f>
        <v>0.13743230576963134</v>
      </c>
      <c r="L72" s="18">
        <v>0.317</v>
      </c>
      <c r="M72" s="80">
        <f>1-(Table80[[#This Row],[NbP]]+Table80[[#This Row],[NbP2]])</f>
        <v>0.57254998958550307</v>
      </c>
    </row>
    <row r="73" spans="1:13" ht="20">
      <c r="A73" s="78" t="s">
        <v>2609</v>
      </c>
      <c r="B73" s="78" t="s">
        <v>297</v>
      </c>
      <c r="C73" s="78">
        <v>96</v>
      </c>
      <c r="D73" s="78">
        <f>Table79[[#This Row],[2020]]/C163</f>
        <v>1.6326252954881719E-3</v>
      </c>
      <c r="F73" s="16" t="s">
        <v>2642</v>
      </c>
      <c r="G73" s="17">
        <v>18896</v>
      </c>
      <c r="H73" s="80">
        <f>Table80[[#This Row],[TRUMP VOTES]]/C163</f>
        <v>0.32135507899525517</v>
      </c>
      <c r="I73" s="18">
        <v>0.628</v>
      </c>
      <c r="J73" s="17">
        <v>10596</v>
      </c>
      <c r="K73" s="80">
        <f>Table80[[#This Row],[BIDEN VOTES]]/C163</f>
        <v>0.18020101698950697</v>
      </c>
      <c r="L73" s="18">
        <v>0.35199999999999998</v>
      </c>
      <c r="M73" s="80">
        <f>1-(Table80[[#This Row],[NbP]]+Table80[[#This Row],[NbP2]])</f>
        <v>0.49844390401523786</v>
      </c>
    </row>
    <row r="74" spans="1:13" ht="20">
      <c r="A74" s="78" t="s">
        <v>2610</v>
      </c>
      <c r="B74" s="78" t="s">
        <v>297</v>
      </c>
      <c r="C74" s="78">
        <v>165</v>
      </c>
      <c r="D74" s="78">
        <f>Table79[[#This Row],[2020]]/C164</f>
        <v>2.1871396190400443E-3</v>
      </c>
      <c r="F74" s="16" t="s">
        <v>2643</v>
      </c>
      <c r="G74" s="17">
        <v>22609</v>
      </c>
      <c r="H74" s="80">
        <f>Table80[[#This Row],[TRUMP VOTES]]/C164</f>
        <v>0.29969114937500829</v>
      </c>
      <c r="I74" s="18">
        <v>0.70599999999999996</v>
      </c>
      <c r="J74" s="17">
        <v>9080</v>
      </c>
      <c r="K74" s="80">
        <f>Table80[[#This Row],[BIDEN VOTES]]/C164</f>
        <v>0.12035895600535518</v>
      </c>
      <c r="L74" s="18">
        <v>0.28299999999999997</v>
      </c>
      <c r="M74" s="80">
        <f>1-(Table80[[#This Row],[NbP]]+Table80[[#This Row],[NbP2]])</f>
        <v>0.57994989461963653</v>
      </c>
    </row>
    <row r="75" spans="1:13" ht="20">
      <c r="A75" s="78" t="s">
        <v>2611</v>
      </c>
      <c r="B75" s="78" t="s">
        <v>297</v>
      </c>
      <c r="C75" s="78">
        <v>129</v>
      </c>
      <c r="D75" s="78">
        <f>Table79[[#This Row],[2020]]/C165</f>
        <v>2.3347993701471467E-3</v>
      </c>
      <c r="F75" s="16" t="s">
        <v>2380</v>
      </c>
      <c r="G75" s="17">
        <v>17086</v>
      </c>
      <c r="H75" s="80">
        <f>Table80[[#This Row],[TRUMP VOTES]]/C165</f>
        <v>0.30924327161499338</v>
      </c>
      <c r="I75" s="18">
        <v>0.66200000000000003</v>
      </c>
      <c r="J75" s="17">
        <v>8266</v>
      </c>
      <c r="K75" s="80">
        <f>Table80[[#This Row],[BIDEN VOTES]]/C165</f>
        <v>0.14960815188865359</v>
      </c>
      <c r="L75" s="18">
        <v>0.32</v>
      </c>
      <c r="M75" s="80">
        <f>1-(Table80[[#This Row],[NbP]]+Table80[[#This Row],[NbP2]])</f>
        <v>0.54114857649635306</v>
      </c>
    </row>
    <row r="76" spans="1:13" ht="20">
      <c r="A76" s="78" t="s">
        <v>149</v>
      </c>
      <c r="B76" s="78" t="s">
        <v>297</v>
      </c>
      <c r="C76" s="78">
        <v>72</v>
      </c>
      <c r="D76" s="78">
        <f>Table79[[#This Row],[2020]]/C166</f>
        <v>1.4811767126105739E-3</v>
      </c>
      <c r="F76" s="16" t="s">
        <v>264</v>
      </c>
      <c r="G76" s="17">
        <v>20422</v>
      </c>
      <c r="H76" s="80">
        <f>Table80[[#This Row],[TRUMP VOTES]]/C166</f>
        <v>0.42011931701296029</v>
      </c>
      <c r="I76" s="18">
        <v>0.80900000000000005</v>
      </c>
      <c r="J76" s="17">
        <v>4465</v>
      </c>
      <c r="K76" s="80">
        <f>Table80[[#This Row],[BIDEN VOTES]]/C166</f>
        <v>9.1853528080641844E-2</v>
      </c>
      <c r="L76" s="18">
        <v>0.17699999999999999</v>
      </c>
      <c r="M76" s="80">
        <f>1-(Table80[[#This Row],[NbP]]+Table80[[#This Row],[NbP2]])</f>
        <v>0.48802715490639792</v>
      </c>
    </row>
    <row r="77" spans="1:13" ht="20">
      <c r="A77" s="78" t="s">
        <v>2542</v>
      </c>
      <c r="B77" s="78" t="s">
        <v>297</v>
      </c>
      <c r="C77" s="78">
        <v>270</v>
      </c>
      <c r="D77" s="78">
        <f>Table79[[#This Row],[2020]]/C167</f>
        <v>7.2675201068056288E-4</v>
      </c>
      <c r="F77" s="16" t="s">
        <v>2577</v>
      </c>
      <c r="G77" s="17">
        <v>111097</v>
      </c>
      <c r="H77" s="80">
        <f>Table80[[#This Row],[TRUMP VOTES]]/C167</f>
        <v>0.29903691900214258</v>
      </c>
      <c r="I77" s="18">
        <v>0.58499999999999996</v>
      </c>
      <c r="J77" s="17">
        <v>75904</v>
      </c>
      <c r="K77" s="80">
        <f>Table80[[#This Row],[BIDEN VOTES]]/C167</f>
        <v>0.20430883192110164</v>
      </c>
      <c r="L77" s="18">
        <v>0.4</v>
      </c>
      <c r="M77" s="80">
        <f>1-(Table80[[#This Row],[NbP]]+Table80[[#This Row],[NbP2]])</f>
        <v>0.49665424907675582</v>
      </c>
    </row>
    <row r="78" spans="1:13" ht="20">
      <c r="A78" s="78" t="s">
        <v>1141</v>
      </c>
      <c r="B78" s="78" t="s">
        <v>297</v>
      </c>
      <c r="C78" s="78">
        <v>460</v>
      </c>
      <c r="D78" s="78">
        <f>Table79[[#This Row],[2020]]/C168</f>
        <v>8.5057598787004673E-4</v>
      </c>
      <c r="F78" s="16" t="s">
        <v>1191</v>
      </c>
      <c r="G78" s="17">
        <v>124833</v>
      </c>
      <c r="H78" s="80">
        <f>Table80[[#This Row],[TRUMP VOTES]]/C168</f>
        <v>0.23082598324735121</v>
      </c>
      <c r="I78" s="18">
        <v>0.44500000000000001</v>
      </c>
      <c r="J78" s="17">
        <v>151668</v>
      </c>
      <c r="K78" s="80">
        <f>Table80[[#This Row],[BIDEN VOTES]]/C168</f>
        <v>0.28044599767016143</v>
      </c>
      <c r="L78" s="18">
        <v>0.54100000000000004</v>
      </c>
      <c r="M78" s="80">
        <f>1-(Table80[[#This Row],[NbP]]+Table80[[#This Row],[NbP2]])</f>
        <v>0.48872801908248742</v>
      </c>
    </row>
    <row r="79" spans="1:13" ht="20">
      <c r="A79" s="78" t="s">
        <v>2612</v>
      </c>
      <c r="B79" s="78" t="s">
        <v>297</v>
      </c>
      <c r="C79" s="78">
        <v>118</v>
      </c>
      <c r="D79" s="78">
        <f>Table79[[#This Row],[2020]]/C169</f>
        <v>5.9253605431245737E-4</v>
      </c>
      <c r="F79" s="16" t="s">
        <v>2644</v>
      </c>
      <c r="G79" s="17">
        <v>55194</v>
      </c>
      <c r="H79" s="80">
        <f>Table80[[#This Row],[TRUMP VOTES]]/C169</f>
        <v>0.27715622865865908</v>
      </c>
      <c r="I79" s="18">
        <v>0.54700000000000004</v>
      </c>
      <c r="J79" s="17">
        <v>44519</v>
      </c>
      <c r="K79" s="80">
        <f>Table80[[#This Row],[BIDEN VOTES]]/C169</f>
        <v>0.22355180171132447</v>
      </c>
      <c r="L79" s="18">
        <v>0.441</v>
      </c>
      <c r="M79" s="80">
        <f>1-(Table80[[#This Row],[NbP]]+Table80[[#This Row],[NbP2]])</f>
        <v>0.49929196963001643</v>
      </c>
    </row>
    <row r="80" spans="1:13" ht="20">
      <c r="A80" s="78" t="s">
        <v>2613</v>
      </c>
      <c r="B80" s="78" t="s">
        <v>297</v>
      </c>
      <c r="C80" s="78">
        <v>75</v>
      </c>
      <c r="D80" s="78">
        <f>Table79[[#This Row],[2020]]/C170</f>
        <v>8.1375793413985783E-4</v>
      </c>
      <c r="F80" s="16" t="s">
        <v>2645</v>
      </c>
      <c r="G80" s="17">
        <v>30458</v>
      </c>
      <c r="H80" s="80">
        <f>Table80[[#This Row],[TRUMP VOTES]]/C170</f>
        <v>0.33047252210709055</v>
      </c>
      <c r="I80" s="18">
        <v>0.69199999999999995</v>
      </c>
      <c r="J80" s="17">
        <v>12889</v>
      </c>
      <c r="K80" s="80">
        <f>Table80[[#This Row],[BIDEN VOTES]]/C170</f>
        <v>0.13984701350838172</v>
      </c>
      <c r="L80" s="18">
        <v>0.29299999999999998</v>
      </c>
      <c r="M80" s="80">
        <f>1-(Table80[[#This Row],[NbP]]+Table80[[#This Row],[NbP2]])</f>
        <v>0.52968046438452776</v>
      </c>
    </row>
    <row r="81" spans="1:13" ht="20">
      <c r="A81" s="78" t="s">
        <v>157</v>
      </c>
      <c r="B81" s="78" t="s">
        <v>297</v>
      </c>
      <c r="C81" s="78">
        <v>56</v>
      </c>
      <c r="D81" s="78">
        <f>Table79[[#This Row],[2020]]/C171</f>
        <v>9.6766947175614727E-4</v>
      </c>
      <c r="F81" s="16" t="s">
        <v>255</v>
      </c>
      <c r="G81" s="17">
        <v>21669</v>
      </c>
      <c r="H81" s="80">
        <f>Table80[[#This Row],[TRUMP VOTES]]/C171</f>
        <v>0.37443624613364207</v>
      </c>
      <c r="I81" s="18">
        <v>0.64800000000000002</v>
      </c>
      <c r="J81" s="17">
        <v>11141</v>
      </c>
      <c r="K81" s="80">
        <f>Table80[[#This Row],[BIDEN VOTES]]/C171</f>
        <v>0.19251438544348637</v>
      </c>
      <c r="L81" s="18">
        <v>0.33300000000000002</v>
      </c>
      <c r="M81" s="80">
        <f>1-(Table80[[#This Row],[NbP]]+Table80[[#This Row],[NbP2]])</f>
        <v>0.43304936842287156</v>
      </c>
    </row>
    <row r="82" spans="1:13" ht="20">
      <c r="A82" s="78" t="s">
        <v>2614</v>
      </c>
      <c r="B82" s="78" t="s">
        <v>297</v>
      </c>
      <c r="C82" s="78">
        <v>64</v>
      </c>
      <c r="D82" s="78">
        <f>Table79[[#This Row],[2020]]/C172</f>
        <v>2.2684578031403964E-3</v>
      </c>
      <c r="F82" s="16" t="s">
        <v>2646</v>
      </c>
      <c r="G82" s="17">
        <v>11650</v>
      </c>
      <c r="H82" s="80">
        <f>Table80[[#This Row],[TRUMP VOTES]]/C172</f>
        <v>0.41293020947790027</v>
      </c>
      <c r="I82" s="18">
        <v>0.77900000000000003</v>
      </c>
      <c r="J82" s="17">
        <v>3067</v>
      </c>
      <c r="K82" s="80">
        <f>Table80[[#This Row],[BIDEN VOTES]]/C172</f>
        <v>0.10870875128486868</v>
      </c>
      <c r="L82" s="18">
        <v>0.20499999999999999</v>
      </c>
      <c r="M82" s="80">
        <f>1-(Table80[[#This Row],[NbP]]+Table80[[#This Row],[NbP2]])</f>
        <v>0.47836103923723106</v>
      </c>
    </row>
    <row r="83" spans="1:13" ht="20">
      <c r="A83" s="78" t="s">
        <v>2615</v>
      </c>
      <c r="B83" s="78" t="s">
        <v>297</v>
      </c>
      <c r="C83" s="78">
        <v>21</v>
      </c>
      <c r="D83" s="78">
        <f>Table79[[#This Row],[2020]]/C173</f>
        <v>1.6098121885779993E-3</v>
      </c>
      <c r="F83" s="16" t="s">
        <v>2647</v>
      </c>
      <c r="G83" s="17">
        <v>4632</v>
      </c>
      <c r="H83" s="80">
        <f>Table80[[#This Row],[TRUMP VOTES]]/C173</f>
        <v>0.35507857416634725</v>
      </c>
      <c r="I83" s="18">
        <v>0.76900000000000002</v>
      </c>
      <c r="J83" s="17">
        <v>1331</v>
      </c>
      <c r="K83" s="80">
        <f>Table80[[#This Row],[BIDEN VOTES]]/C173</f>
        <v>0.1020314296665389</v>
      </c>
      <c r="L83" s="18">
        <v>0.221</v>
      </c>
      <c r="M83" s="80">
        <f>1-(Table80[[#This Row],[NbP]]+Table80[[#This Row],[NbP2]])</f>
        <v>0.54288999616711386</v>
      </c>
    </row>
    <row r="84" spans="1:13" ht="20">
      <c r="A84" s="78" t="s">
        <v>159</v>
      </c>
      <c r="B84" s="78" t="s">
        <v>297</v>
      </c>
      <c r="C84" s="78">
        <v>167</v>
      </c>
      <c r="D84" s="78">
        <f>Table79[[#This Row],[2020]]/C174</f>
        <v>7.181560161692612E-4</v>
      </c>
      <c r="F84" s="16" t="s">
        <v>257</v>
      </c>
      <c r="G84" s="17">
        <v>87988</v>
      </c>
      <c r="H84" s="80">
        <f>Table80[[#This Row],[TRUMP VOTES]]/C174</f>
        <v>0.37837791347725125</v>
      </c>
      <c r="I84" s="18">
        <v>0.64700000000000002</v>
      </c>
      <c r="J84" s="17">
        <v>46069</v>
      </c>
      <c r="K84" s="80">
        <f>Table80[[#This Row],[BIDEN VOTES]]/C174</f>
        <v>0.19811215274791433</v>
      </c>
      <c r="L84" s="18">
        <v>0.33900000000000002</v>
      </c>
      <c r="M84" s="80">
        <f>1-(Table80[[#This Row],[NbP]]+Table80[[#This Row],[NbP2]])</f>
        <v>0.42350993377483448</v>
      </c>
    </row>
    <row r="85" spans="1:13" ht="20">
      <c r="A85" s="78" t="s">
        <v>38</v>
      </c>
      <c r="B85" s="78" t="s">
        <v>297</v>
      </c>
      <c r="C85" s="78">
        <v>79</v>
      </c>
      <c r="D85" s="78">
        <f>Table79[[#This Row],[2020]]/C175</f>
        <v>1.3119218825248685E-3</v>
      </c>
      <c r="F85" s="16" t="s">
        <v>258</v>
      </c>
      <c r="G85" s="17">
        <v>22307</v>
      </c>
      <c r="H85" s="80">
        <f>Table80[[#This Row],[TRUMP VOTES]]/C175</f>
        <v>0.37044356244914228</v>
      </c>
      <c r="I85" s="18">
        <v>0.69599999999999995</v>
      </c>
      <c r="J85" s="17">
        <v>9243</v>
      </c>
      <c r="K85" s="80">
        <f>Table80[[#This Row],[BIDEN VOTES]]/C175</f>
        <v>0.15349486025540959</v>
      </c>
      <c r="L85" s="18">
        <v>0.28899999999999998</v>
      </c>
      <c r="M85" s="80">
        <f>1-(Table80[[#This Row],[NbP]]+Table80[[#This Row],[NbP2]])</f>
        <v>0.47606157729544818</v>
      </c>
    </row>
    <row r="86" spans="1:13" ht="20">
      <c r="A86" s="78" t="s">
        <v>160</v>
      </c>
      <c r="B86" s="78" t="s">
        <v>297</v>
      </c>
      <c r="C86" s="78">
        <v>214</v>
      </c>
      <c r="D86" s="78">
        <f>Table79[[#This Row],[2020]]/C176</f>
        <v>1.8438261978408277E-3</v>
      </c>
      <c r="F86" s="16" t="s">
        <v>259</v>
      </c>
      <c r="G86" s="17">
        <v>36759</v>
      </c>
      <c r="H86" s="80">
        <f>Table80[[#This Row],[TRUMP VOTES]]/C176</f>
        <v>0.31671592152537847</v>
      </c>
      <c r="I86" s="18">
        <v>0.67700000000000005</v>
      </c>
      <c r="J86" s="17">
        <v>16660</v>
      </c>
      <c r="K86" s="80">
        <f>Table80[[#This Row],[BIDEN VOTES]]/C176</f>
        <v>0.14354273110293547</v>
      </c>
      <c r="L86" s="18">
        <v>0.307</v>
      </c>
      <c r="M86" s="80">
        <f>1-(Table80[[#This Row],[NbP]]+Table80[[#This Row],[NbP2]])</f>
        <v>0.53974134737168611</v>
      </c>
    </row>
    <row r="87" spans="1:13" ht="20">
      <c r="A87" s="78" t="s">
        <v>2547</v>
      </c>
      <c r="B87" s="78" t="s">
        <v>297</v>
      </c>
      <c r="C87" s="78">
        <v>214</v>
      </c>
      <c r="D87" s="78">
        <f>Table79[[#This Row],[2020]]/C177</f>
        <v>5.821545157780196E-3</v>
      </c>
      <c r="F87" s="16" t="s">
        <v>2582</v>
      </c>
      <c r="G87" s="17">
        <v>13452</v>
      </c>
      <c r="H87" s="80">
        <f>Table80[[#This Row],[TRUMP VOTES]]/C177</f>
        <v>0.36594124047878129</v>
      </c>
      <c r="I87" s="18">
        <v>0.72099999999999997</v>
      </c>
      <c r="J87" s="17">
        <v>4842</v>
      </c>
      <c r="K87" s="80">
        <f>Table80[[#This Row],[BIDEN VOTES]]/C177</f>
        <v>0.13171926006528836</v>
      </c>
      <c r="L87" s="18">
        <v>0.26</v>
      </c>
      <c r="M87" s="80">
        <f>1-(Table80[[#This Row],[NbP]]+Table80[[#This Row],[NbP2]])</f>
        <v>0.50233949945593037</v>
      </c>
    </row>
    <row r="88" spans="1:13" ht="20">
      <c r="A88" s="78" t="s">
        <v>780</v>
      </c>
      <c r="B88" s="78" t="s">
        <v>297</v>
      </c>
      <c r="C88" s="78">
        <v>242</v>
      </c>
      <c r="D88" s="78">
        <f>Table79[[#This Row],[2020]]/C178</f>
        <v>1.8521069630037807E-3</v>
      </c>
      <c r="F88" s="16" t="s">
        <v>551</v>
      </c>
      <c r="G88" s="17">
        <v>35757</v>
      </c>
      <c r="H88" s="80">
        <f>Table80[[#This Row],[TRUMP VOTES]]/C178</f>
        <v>0.27366028378564539</v>
      </c>
      <c r="I88" s="18">
        <v>0.52900000000000003</v>
      </c>
      <c r="J88" s="17">
        <v>30617</v>
      </c>
      <c r="K88" s="80">
        <f>Table80[[#This Row],[BIDEN VOTES]]/C178</f>
        <v>0.23432214415820973</v>
      </c>
      <c r="L88" s="18">
        <v>0.45300000000000001</v>
      </c>
      <c r="M88" s="80">
        <f>1-(Table80[[#This Row],[NbP]]+Table80[[#This Row],[NbP2]])</f>
        <v>0.49201757205614483</v>
      </c>
    </row>
    <row r="89" spans="1:13" ht="20">
      <c r="A89" s="78" t="s">
        <v>2616</v>
      </c>
      <c r="B89" s="78" t="s">
        <v>297</v>
      </c>
      <c r="C89" s="78">
        <v>16</v>
      </c>
      <c r="D89" s="78">
        <f>Table79[[#This Row],[2020]]/C179</f>
        <v>7.3036015885333456E-4</v>
      </c>
      <c r="F89" s="16" t="s">
        <v>2648</v>
      </c>
      <c r="G89" s="17">
        <v>8462</v>
      </c>
      <c r="H89" s="80">
        <f>Table80[[#This Row],[TRUMP VOTES]]/C179</f>
        <v>0.38626922901355731</v>
      </c>
      <c r="I89" s="18">
        <v>0.74299999999999999</v>
      </c>
      <c r="J89" s="17">
        <v>2733</v>
      </c>
      <c r="K89" s="80">
        <f>Table80[[#This Row],[BIDEN VOTES]]/C179</f>
        <v>0.12475464463413521</v>
      </c>
      <c r="L89" s="18">
        <v>0.24</v>
      </c>
      <c r="M89" s="80">
        <f>1-(Table80[[#This Row],[NbP]]+Table80[[#This Row],[NbP2]])</f>
        <v>0.48897612635230747</v>
      </c>
    </row>
    <row r="91" spans="1:13" ht="21">
      <c r="A91" s="77" t="s">
        <v>1670</v>
      </c>
      <c r="B91" s="77" t="s">
        <v>69</v>
      </c>
      <c r="C91" s="77" t="s">
        <v>54</v>
      </c>
    </row>
    <row r="92" spans="1:13" ht="21">
      <c r="A92" s="52">
        <v>78</v>
      </c>
      <c r="B92" s="53" t="s">
        <v>1144</v>
      </c>
      <c r="C92" s="54">
        <v>27685</v>
      </c>
    </row>
    <row r="93" spans="1:13" ht="21">
      <c r="A93" s="52">
        <v>26</v>
      </c>
      <c r="B93" s="53" t="s">
        <v>1452</v>
      </c>
      <c r="C93" s="54">
        <v>102808</v>
      </c>
    </row>
    <row r="94" spans="1:13" ht="21">
      <c r="A94" s="52">
        <v>48</v>
      </c>
      <c r="B94" s="53" t="s">
        <v>2617</v>
      </c>
      <c r="C94" s="54">
        <v>53533</v>
      </c>
    </row>
    <row r="95" spans="1:13" ht="21">
      <c r="A95" s="52">
        <v>28</v>
      </c>
      <c r="B95" s="53" t="s">
        <v>2618</v>
      </c>
      <c r="C95" s="54">
        <v>97416</v>
      </c>
    </row>
    <row r="96" spans="1:13" ht="21">
      <c r="A96" s="52">
        <v>37</v>
      </c>
      <c r="B96" s="53" t="s">
        <v>2619</v>
      </c>
      <c r="C96" s="54">
        <v>65945</v>
      </c>
    </row>
    <row r="97" spans="1:3" ht="21">
      <c r="A97" s="52">
        <v>51</v>
      </c>
      <c r="B97" s="53" t="s">
        <v>2620</v>
      </c>
      <c r="C97" s="54">
        <v>45709</v>
      </c>
    </row>
    <row r="98" spans="1:3" ht="21">
      <c r="A98" s="52">
        <v>36</v>
      </c>
      <c r="B98" s="53" t="s">
        <v>2621</v>
      </c>
      <c r="C98" s="54">
        <v>67424</v>
      </c>
    </row>
    <row r="99" spans="1:3" ht="21">
      <c r="A99" s="52">
        <v>55</v>
      </c>
      <c r="B99" s="53" t="s">
        <v>354</v>
      </c>
      <c r="C99" s="54">
        <v>43508</v>
      </c>
    </row>
    <row r="100" spans="1:3" ht="21">
      <c r="A100" s="52">
        <v>7</v>
      </c>
      <c r="B100" s="53" t="s">
        <v>926</v>
      </c>
      <c r="C100" s="54">
        <v>382129</v>
      </c>
    </row>
    <row r="101" spans="1:3" ht="21">
      <c r="A101" s="52">
        <v>79</v>
      </c>
      <c r="B101" s="53" t="s">
        <v>178</v>
      </c>
      <c r="C101" s="54">
        <v>27195</v>
      </c>
    </row>
    <row r="102" spans="1:3" ht="21">
      <c r="A102" s="52">
        <v>64</v>
      </c>
      <c r="B102" s="53" t="s">
        <v>2622</v>
      </c>
      <c r="C102" s="54">
        <v>38861</v>
      </c>
    </row>
    <row r="103" spans="1:3" ht="21">
      <c r="A103" s="52">
        <v>21</v>
      </c>
      <c r="B103" s="53" t="s">
        <v>1404</v>
      </c>
      <c r="C103" s="54">
        <v>134409</v>
      </c>
    </row>
    <row r="104" spans="1:3" ht="21">
      <c r="A104" s="52">
        <v>13</v>
      </c>
      <c r="B104" s="53" t="s">
        <v>2623</v>
      </c>
      <c r="C104" s="54">
        <v>205616</v>
      </c>
    </row>
    <row r="105" spans="1:3" ht="21">
      <c r="A105" s="52">
        <v>58</v>
      </c>
      <c r="B105" s="53" t="s">
        <v>1405</v>
      </c>
      <c r="C105" s="54">
        <v>42000</v>
      </c>
    </row>
    <row r="106" spans="1:3" ht="21">
      <c r="A106" s="52">
        <v>27</v>
      </c>
      <c r="B106" s="53" t="s">
        <v>2624</v>
      </c>
      <c r="C106" s="54">
        <v>102514</v>
      </c>
    </row>
    <row r="107" spans="1:3" ht="21">
      <c r="A107" s="52">
        <v>67</v>
      </c>
      <c r="B107" s="53" t="s">
        <v>2625</v>
      </c>
      <c r="C107" s="54">
        <v>36558</v>
      </c>
    </row>
    <row r="108" spans="1:3" ht="21">
      <c r="A108" s="52">
        <v>59</v>
      </c>
      <c r="B108" s="53" t="s">
        <v>1331</v>
      </c>
      <c r="C108" s="54">
        <v>41603</v>
      </c>
    </row>
    <row r="109" spans="1:3" ht="21">
      <c r="A109" s="52">
        <v>2</v>
      </c>
      <c r="B109" s="53" t="s">
        <v>2626</v>
      </c>
      <c r="C109" s="54">
        <v>1241475</v>
      </c>
    </row>
    <row r="110" spans="1:3" ht="21">
      <c r="A110" s="52">
        <v>49</v>
      </c>
      <c r="B110" s="53" t="s">
        <v>2627</v>
      </c>
      <c r="C110" s="54">
        <v>51387</v>
      </c>
    </row>
    <row r="111" spans="1:3" ht="21">
      <c r="A111" s="52">
        <v>65</v>
      </c>
      <c r="B111" s="53" t="s">
        <v>2628</v>
      </c>
      <c r="C111" s="54">
        <v>38024</v>
      </c>
    </row>
    <row r="112" spans="1:3" ht="21">
      <c r="A112" s="52">
        <v>14</v>
      </c>
      <c r="B112" s="53" t="s">
        <v>1457</v>
      </c>
      <c r="C112" s="54">
        <v>205454</v>
      </c>
    </row>
    <row r="113" spans="1:3" ht="21">
      <c r="A113" s="52">
        <v>35</v>
      </c>
      <c r="B113" s="53" t="s">
        <v>2365</v>
      </c>
      <c r="C113" s="54">
        <v>74419</v>
      </c>
    </row>
    <row r="114" spans="1:3" ht="21">
      <c r="A114" s="52">
        <v>20</v>
      </c>
      <c r="B114" s="53" t="s">
        <v>1209</v>
      </c>
      <c r="C114" s="54">
        <v>156204</v>
      </c>
    </row>
    <row r="115" spans="1:3" ht="21">
      <c r="A115" s="52">
        <v>74</v>
      </c>
      <c r="B115" s="53" t="s">
        <v>193</v>
      </c>
      <c r="C115" s="54">
        <v>28609</v>
      </c>
    </row>
    <row r="116" spans="1:3" ht="21">
      <c r="A116" s="52">
        <v>1</v>
      </c>
      <c r="B116" s="53" t="s">
        <v>195</v>
      </c>
      <c r="C116" s="54">
        <v>1304715</v>
      </c>
    </row>
    <row r="117" spans="1:3" ht="21">
      <c r="A117" s="52">
        <v>57</v>
      </c>
      <c r="B117" s="53" t="s">
        <v>1343</v>
      </c>
      <c r="C117" s="54">
        <v>42186</v>
      </c>
    </row>
    <row r="118" spans="1:3" ht="21">
      <c r="A118" s="52">
        <v>73</v>
      </c>
      <c r="B118" s="53" t="s">
        <v>2629</v>
      </c>
      <c r="C118" s="54">
        <v>29995</v>
      </c>
    </row>
    <row r="119" spans="1:3" ht="21">
      <c r="A119" s="52">
        <v>29</v>
      </c>
      <c r="B119" s="53" t="s">
        <v>2630</v>
      </c>
      <c r="C119" s="54">
        <v>93657</v>
      </c>
    </row>
    <row r="120" spans="1:3" ht="21">
      <c r="A120" s="52">
        <v>18</v>
      </c>
      <c r="B120" s="53" t="s">
        <v>199</v>
      </c>
      <c r="C120" s="54">
        <v>167867</v>
      </c>
    </row>
    <row r="121" spans="1:3" ht="21">
      <c r="A121" s="52">
        <v>63</v>
      </c>
      <c r="B121" s="53" t="s">
        <v>2631</v>
      </c>
      <c r="C121" s="54">
        <v>38996</v>
      </c>
    </row>
    <row r="122" spans="1:3" ht="21">
      <c r="A122" s="52">
        <v>3</v>
      </c>
      <c r="B122" s="53" t="s">
        <v>202</v>
      </c>
      <c r="C122" s="54">
        <v>815790</v>
      </c>
    </row>
    <row r="123" spans="1:3" ht="21">
      <c r="A123" s="52">
        <v>33</v>
      </c>
      <c r="B123" s="53" t="s">
        <v>203</v>
      </c>
      <c r="C123" s="54">
        <v>75765</v>
      </c>
    </row>
    <row r="124" spans="1:3" ht="21">
      <c r="A124" s="52">
        <v>72</v>
      </c>
      <c r="B124" s="53" t="s">
        <v>205</v>
      </c>
      <c r="C124" s="54">
        <v>31393</v>
      </c>
    </row>
    <row r="125" spans="1:3" ht="21">
      <c r="A125" s="52">
        <v>84</v>
      </c>
      <c r="B125" s="53" t="s">
        <v>424</v>
      </c>
      <c r="C125" s="54">
        <v>15132</v>
      </c>
    </row>
    <row r="126" spans="1:3" ht="21">
      <c r="A126" s="52">
        <v>80</v>
      </c>
      <c r="B126" s="53" t="s">
        <v>209</v>
      </c>
      <c r="C126" s="54">
        <v>27068</v>
      </c>
    </row>
    <row r="127" spans="1:3" ht="21">
      <c r="A127" s="52">
        <v>56</v>
      </c>
      <c r="B127" s="53" t="s">
        <v>2632</v>
      </c>
      <c r="C127" s="54">
        <v>43080</v>
      </c>
    </row>
    <row r="128" spans="1:3" ht="21">
      <c r="A128" s="52">
        <v>75</v>
      </c>
      <c r="B128" s="53" t="s">
        <v>2633</v>
      </c>
      <c r="C128" s="54">
        <v>28306</v>
      </c>
    </row>
    <row r="129" spans="1:3" ht="21">
      <c r="A129" s="52">
        <v>54</v>
      </c>
      <c r="B129" s="53" t="s">
        <v>2058</v>
      </c>
      <c r="C129" s="54">
        <v>43954</v>
      </c>
    </row>
    <row r="130" spans="1:3" ht="21">
      <c r="A130" s="52">
        <v>44</v>
      </c>
      <c r="B130" s="53" t="s">
        <v>1837</v>
      </c>
      <c r="C130" s="54">
        <v>58271</v>
      </c>
    </row>
    <row r="131" spans="1:3" ht="21">
      <c r="A131" s="52">
        <v>71</v>
      </c>
      <c r="B131" s="53" t="s">
        <v>213</v>
      </c>
      <c r="C131" s="54">
        <v>32440</v>
      </c>
    </row>
    <row r="132" spans="1:3" ht="21">
      <c r="A132" s="52">
        <v>38</v>
      </c>
      <c r="B132" s="53" t="s">
        <v>214</v>
      </c>
      <c r="C132" s="54">
        <v>65943</v>
      </c>
    </row>
    <row r="133" spans="1:3" ht="21">
      <c r="A133" s="52">
        <v>40</v>
      </c>
      <c r="B133" s="53" t="s">
        <v>216</v>
      </c>
      <c r="C133" s="54">
        <v>61776</v>
      </c>
    </row>
    <row r="134" spans="1:3" ht="21">
      <c r="A134" s="52">
        <v>11</v>
      </c>
      <c r="B134" s="53" t="s">
        <v>217</v>
      </c>
      <c r="C134" s="54">
        <v>229755</v>
      </c>
    </row>
    <row r="135" spans="1:3" ht="21">
      <c r="A135" s="52">
        <v>42</v>
      </c>
      <c r="B135" s="53" t="s">
        <v>219</v>
      </c>
      <c r="C135" s="54">
        <v>59901</v>
      </c>
    </row>
    <row r="136" spans="1:3" ht="21">
      <c r="A136" s="52">
        <v>17</v>
      </c>
      <c r="B136" s="53" t="s">
        <v>2634</v>
      </c>
      <c r="C136" s="54">
        <v>175409</v>
      </c>
    </row>
    <row r="137" spans="1:3" ht="21">
      <c r="A137" s="52">
        <v>52</v>
      </c>
      <c r="B137" s="53" t="s">
        <v>837</v>
      </c>
      <c r="C137" s="54">
        <v>45315</v>
      </c>
    </row>
    <row r="138" spans="1:3" ht="21">
      <c r="A138" s="52">
        <v>9</v>
      </c>
      <c r="B138" s="53" t="s">
        <v>2635</v>
      </c>
      <c r="C138" s="54">
        <v>309134</v>
      </c>
    </row>
    <row r="139" spans="1:3" ht="21">
      <c r="A139" s="52">
        <v>6</v>
      </c>
      <c r="B139" s="53" t="s">
        <v>1553</v>
      </c>
      <c r="C139" s="54">
        <v>430319</v>
      </c>
    </row>
    <row r="140" spans="1:3" ht="21">
      <c r="A140" s="52">
        <v>53</v>
      </c>
      <c r="B140" s="53" t="s">
        <v>226</v>
      </c>
      <c r="C140" s="54">
        <v>44248</v>
      </c>
    </row>
    <row r="141" spans="1:3" ht="21">
      <c r="A141" s="52">
        <v>12</v>
      </c>
      <c r="B141" s="53" t="s">
        <v>2636</v>
      </c>
      <c r="C141" s="54">
        <v>228452</v>
      </c>
    </row>
    <row r="142" spans="1:3" ht="21">
      <c r="A142" s="52">
        <v>39</v>
      </c>
      <c r="B142" s="53" t="s">
        <v>227</v>
      </c>
      <c r="C142" s="54">
        <v>65179</v>
      </c>
    </row>
    <row r="143" spans="1:3" ht="21">
      <c r="A143" s="52">
        <v>16</v>
      </c>
      <c r="B143" s="53" t="s">
        <v>476</v>
      </c>
      <c r="C143" s="54">
        <v>179116</v>
      </c>
    </row>
    <row r="144" spans="1:3" ht="21">
      <c r="A144" s="52">
        <v>81</v>
      </c>
      <c r="B144" s="53" t="s">
        <v>230</v>
      </c>
      <c r="C144" s="54">
        <v>22974</v>
      </c>
    </row>
    <row r="145" spans="1:3" ht="21">
      <c r="A145" s="52">
        <v>60</v>
      </c>
      <c r="B145" s="53" t="s">
        <v>794</v>
      </c>
      <c r="C145" s="54">
        <v>41034</v>
      </c>
    </row>
    <row r="146" spans="1:3" ht="21">
      <c r="A146" s="52">
        <v>25</v>
      </c>
      <c r="B146" s="53" t="s">
        <v>1468</v>
      </c>
      <c r="C146" s="54">
        <v>106074</v>
      </c>
    </row>
    <row r="147" spans="1:3" ht="21">
      <c r="A147" s="52">
        <v>87</v>
      </c>
      <c r="B147" s="53" t="s">
        <v>231</v>
      </c>
      <c r="C147" s="54">
        <v>13827</v>
      </c>
    </row>
    <row r="148" spans="1:3" ht="21">
      <c r="A148" s="52">
        <v>5</v>
      </c>
      <c r="B148" s="53" t="s">
        <v>232</v>
      </c>
      <c r="C148" s="54">
        <v>531988</v>
      </c>
    </row>
    <row r="149" spans="1:3" ht="21">
      <c r="A149" s="52">
        <v>85</v>
      </c>
      <c r="B149" s="53" t="s">
        <v>234</v>
      </c>
      <c r="C149" s="54">
        <v>14557</v>
      </c>
    </row>
    <row r="150" spans="1:3" ht="21">
      <c r="A150" s="52">
        <v>69</v>
      </c>
      <c r="B150" s="53" t="s">
        <v>286</v>
      </c>
      <c r="C150" s="54">
        <v>35148</v>
      </c>
    </row>
    <row r="151" spans="1:3" ht="21">
      <c r="A151" s="52">
        <v>31</v>
      </c>
      <c r="B151" s="53" t="s">
        <v>2637</v>
      </c>
      <c r="C151" s="54">
        <v>86033</v>
      </c>
    </row>
    <row r="152" spans="1:3" ht="21">
      <c r="A152" s="52">
        <v>86</v>
      </c>
      <c r="B152" s="53" t="s">
        <v>1469</v>
      </c>
      <c r="C152" s="54">
        <v>14410</v>
      </c>
    </row>
    <row r="153" spans="1:3" ht="21">
      <c r="A153" s="52">
        <v>62</v>
      </c>
      <c r="B153" s="53" t="s">
        <v>1867</v>
      </c>
      <c r="C153" s="54">
        <v>40557</v>
      </c>
    </row>
    <row r="154" spans="1:3" ht="21">
      <c r="A154" s="52">
        <v>83</v>
      </c>
      <c r="B154" s="53" t="s">
        <v>1367</v>
      </c>
      <c r="C154" s="54">
        <v>18742</v>
      </c>
    </row>
    <row r="155" spans="1:3" ht="21">
      <c r="A155" s="52">
        <v>68</v>
      </c>
      <c r="B155" s="53" t="s">
        <v>237</v>
      </c>
      <c r="C155" s="54">
        <v>36076</v>
      </c>
    </row>
    <row r="156" spans="1:3" ht="21">
      <c r="A156" s="52">
        <v>45</v>
      </c>
      <c r="B156" s="53" t="s">
        <v>2638</v>
      </c>
      <c r="C156" s="54">
        <v>58112</v>
      </c>
    </row>
    <row r="157" spans="1:3" ht="21">
      <c r="A157" s="52">
        <v>77</v>
      </c>
      <c r="B157" s="53" t="s">
        <v>945</v>
      </c>
      <c r="C157" s="54">
        <v>27914</v>
      </c>
    </row>
    <row r="158" spans="1:3" ht="21">
      <c r="A158" s="52">
        <v>19</v>
      </c>
      <c r="B158" s="53" t="s">
        <v>2639</v>
      </c>
      <c r="C158" s="54">
        <v>162476</v>
      </c>
    </row>
    <row r="159" spans="1:3" ht="21">
      <c r="A159" s="52">
        <v>61</v>
      </c>
      <c r="B159" s="53" t="s">
        <v>2640</v>
      </c>
      <c r="C159" s="54">
        <v>40995</v>
      </c>
    </row>
    <row r="160" spans="1:3" ht="21">
      <c r="A160" s="52">
        <v>70</v>
      </c>
      <c r="B160" s="53" t="s">
        <v>240</v>
      </c>
      <c r="C160" s="54">
        <v>33836</v>
      </c>
    </row>
    <row r="161" spans="1:3" ht="21">
      <c r="A161" s="52">
        <v>23</v>
      </c>
      <c r="B161" s="53" t="s">
        <v>2573</v>
      </c>
      <c r="C161" s="54">
        <v>121043</v>
      </c>
    </row>
    <row r="162" spans="1:3" ht="21">
      <c r="A162" s="52">
        <v>32</v>
      </c>
      <c r="B162" s="53" t="s">
        <v>2641</v>
      </c>
      <c r="C162" s="54">
        <v>76816</v>
      </c>
    </row>
    <row r="163" spans="1:3" ht="21">
      <c r="A163" s="52">
        <v>43</v>
      </c>
      <c r="B163" s="53" t="s">
        <v>2642</v>
      </c>
      <c r="C163" s="54">
        <v>58801</v>
      </c>
    </row>
    <row r="164" spans="1:3" ht="21">
      <c r="A164" s="52">
        <v>34</v>
      </c>
      <c r="B164" s="53" t="s">
        <v>2643</v>
      </c>
      <c r="C164" s="54">
        <v>75441</v>
      </c>
    </row>
    <row r="165" spans="1:3" ht="21">
      <c r="A165" s="52">
        <v>47</v>
      </c>
      <c r="B165" s="53" t="s">
        <v>2380</v>
      </c>
      <c r="C165" s="54">
        <v>55251</v>
      </c>
    </row>
    <row r="166" spans="1:3" ht="21">
      <c r="A166" s="52">
        <v>50</v>
      </c>
      <c r="B166" s="53" t="s">
        <v>264</v>
      </c>
      <c r="C166" s="54">
        <v>48610</v>
      </c>
    </row>
    <row r="167" spans="1:3" ht="21">
      <c r="A167" s="52">
        <v>8</v>
      </c>
      <c r="B167" s="53" t="s">
        <v>2577</v>
      </c>
      <c r="C167" s="54">
        <v>371516</v>
      </c>
    </row>
    <row r="168" spans="1:3" ht="21">
      <c r="A168" s="52">
        <v>4</v>
      </c>
      <c r="B168" s="53" t="s">
        <v>1191</v>
      </c>
      <c r="C168" s="54">
        <v>540810</v>
      </c>
    </row>
    <row r="169" spans="1:3" ht="21">
      <c r="A169" s="52">
        <v>15</v>
      </c>
      <c r="B169" s="53" t="s">
        <v>2644</v>
      </c>
      <c r="C169" s="54">
        <v>199144</v>
      </c>
    </row>
    <row r="170" spans="1:3" ht="21">
      <c r="A170" s="52">
        <v>30</v>
      </c>
      <c r="B170" s="53" t="s">
        <v>2645</v>
      </c>
      <c r="C170" s="54">
        <v>92165</v>
      </c>
    </row>
    <row r="171" spans="1:3" ht="21">
      <c r="A171" s="52">
        <v>46</v>
      </c>
      <c r="B171" s="53" t="s">
        <v>255</v>
      </c>
      <c r="C171" s="54">
        <v>57871</v>
      </c>
    </row>
    <row r="172" spans="1:3" ht="21">
      <c r="A172" s="52">
        <v>76</v>
      </c>
      <c r="B172" s="53" t="s">
        <v>2646</v>
      </c>
      <c r="C172" s="54">
        <v>28213</v>
      </c>
    </row>
    <row r="173" spans="1:3" ht="21">
      <c r="A173" s="52">
        <v>88</v>
      </c>
      <c r="B173" s="53" t="s">
        <v>2647</v>
      </c>
      <c r="C173" s="54">
        <v>13045</v>
      </c>
    </row>
    <row r="174" spans="1:3" ht="21">
      <c r="A174" s="52">
        <v>10</v>
      </c>
      <c r="B174" s="53" t="s">
        <v>257</v>
      </c>
      <c r="C174" s="54">
        <v>232540</v>
      </c>
    </row>
    <row r="175" spans="1:3" ht="21">
      <c r="A175" s="52">
        <v>41</v>
      </c>
      <c r="B175" s="53" t="s">
        <v>258</v>
      </c>
      <c r="C175" s="54">
        <v>60217</v>
      </c>
    </row>
    <row r="176" spans="1:3" ht="21">
      <c r="A176" s="52">
        <v>24</v>
      </c>
      <c r="B176" s="53" t="s">
        <v>259</v>
      </c>
      <c r="C176" s="54">
        <v>116063</v>
      </c>
    </row>
    <row r="177" spans="1:3" ht="21">
      <c r="A177" s="52">
        <v>66</v>
      </c>
      <c r="B177" s="53" t="s">
        <v>2582</v>
      </c>
      <c r="C177" s="54">
        <v>36760</v>
      </c>
    </row>
    <row r="178" spans="1:3" ht="21">
      <c r="A178" s="52">
        <v>22</v>
      </c>
      <c r="B178" s="53" t="s">
        <v>551</v>
      </c>
      <c r="C178" s="54">
        <v>130662</v>
      </c>
    </row>
    <row r="179" spans="1:3" ht="21">
      <c r="A179" s="52">
        <v>82</v>
      </c>
      <c r="B179" s="53" t="s">
        <v>2648</v>
      </c>
      <c r="C179" s="54">
        <v>21907</v>
      </c>
    </row>
  </sheetData>
  <hyperlinks>
    <hyperlink ref="B116" r:id="rId1" display="https://www.ohio-demographics.com/franklin-county-demographics" xr:uid="{E1B1D6EB-502E-6549-A945-16E9FCC3AA58}"/>
    <hyperlink ref="B109" r:id="rId2" display="https://www.ohio-demographics.com/cuyahoga-county-demographics" xr:uid="{7CA69FF3-7058-0F4B-A7F2-EA6D1EC5FABC}"/>
    <hyperlink ref="B122" r:id="rId3" display="https://www.ohio-demographics.com/hamilton-county-demographics" xr:uid="{93885F07-E6CB-3945-AD8B-79830A37CBA3}"/>
    <hyperlink ref="B168" r:id="rId4" display="https://www.ohio-demographics.com/summit-county-demographics" xr:uid="{4639109E-3831-4347-8AA0-9AF500D9A71B}"/>
    <hyperlink ref="B148" r:id="rId5" display="https://www.ohio-demographics.com/montgomery-county-demographics" xr:uid="{28ADEFE0-93AD-3145-B864-12503CDD203C}"/>
    <hyperlink ref="B139" r:id="rId6" display="https://www.ohio-demographics.com/lucas-county-demographics" xr:uid="{C8FA245F-8353-A141-9646-1F3C7C07ED1F}"/>
    <hyperlink ref="B100" r:id="rId7" display="https://www.ohio-demographics.com/butler-county-demographics" xr:uid="{C9E9FD4C-740A-734A-B3E6-2461160C68C9}"/>
    <hyperlink ref="B167" r:id="rId8" display="https://www.ohio-demographics.com/stark-county-demographics" xr:uid="{7498E8DF-95A9-814E-B5DA-ABE73D1DBB04}"/>
    <hyperlink ref="B138" r:id="rId9" display="https://www.ohio-demographics.com/lorain-county-demographics" xr:uid="{CAE53829-3369-2C4E-973D-A94588DCC272}"/>
    <hyperlink ref="B174" r:id="rId10" display="https://www.ohio-demographics.com/warren-county-demographics" xr:uid="{3FD743E1-9EB7-B74C-A0C5-D63C7123227F}"/>
    <hyperlink ref="B134" r:id="rId11" display="https://www.ohio-demographics.com/lake-county-demographics" xr:uid="{60539F40-0631-1242-9A9F-7B11EA0F0405}"/>
    <hyperlink ref="B141" r:id="rId12" display="https://www.ohio-demographics.com/mahoning-county-demographics" xr:uid="{D6951F08-B0C1-9548-AF57-EFBF5A8C718F}"/>
    <hyperlink ref="B104" r:id="rId13" display="https://www.ohio-demographics.com/clermont-county-demographics" xr:uid="{608F0AF2-9723-7249-95A6-96F43BDD0E39}"/>
    <hyperlink ref="B112" r:id="rId14" display="https://www.ohio-demographics.com/delaware-county-demographics" xr:uid="{62A2A534-AA54-A14B-A1D4-417F82F652A4}"/>
    <hyperlink ref="B169" r:id="rId15" display="https://www.ohio-demographics.com/trumbull-county-demographics" xr:uid="{35C06015-4D71-F543-A49D-F8139ADCA533}"/>
    <hyperlink ref="B143" r:id="rId16" display="https://www.ohio-demographics.com/medina-county-demographics" xr:uid="{49DFA94D-0C01-6540-A61B-4B304E4DACA1}"/>
    <hyperlink ref="B136" r:id="rId17" display="https://www.ohio-demographics.com/licking-county-demographics" xr:uid="{9FDEA33B-1EF0-9044-B2BB-7B7EF6D87A65}"/>
    <hyperlink ref="B120" r:id="rId18" display="https://www.ohio-demographics.com/greene-county-demographics" xr:uid="{CED4B20B-0942-F44B-B6BA-05FECE26B8A7}"/>
    <hyperlink ref="B158" r:id="rId19" display="https://www.ohio-demographics.com/portage-county-demographics" xr:uid="{12B2C20C-2268-FD4C-8EDF-F3F49581FDBB}"/>
    <hyperlink ref="B114" r:id="rId20" display="https://www.ohio-demographics.com/fairfield-county-demographics" xr:uid="{E6AC9FFB-C1AE-F94F-9CBB-9089C0FA1801}"/>
    <hyperlink ref="B103" r:id="rId21" display="https://www.ohio-demographics.com/clark-county-demographics" xr:uid="{607ABA98-EBEE-5E48-B4BF-BD67AD57C4A5}"/>
    <hyperlink ref="B178" r:id="rId22" display="https://www.ohio-demographics.com/wood-county-demographics" xr:uid="{F427C274-135D-F84C-BAD9-4784DAA5CE51}"/>
    <hyperlink ref="B161" r:id="rId23" display="https://www.ohio-demographics.com/richland-county-demographics" xr:uid="{16C1B646-CC5B-7B4E-B911-8E78FF1457CC}"/>
    <hyperlink ref="B176" r:id="rId24" display="https://www.ohio-demographics.com/wayne-county-demographics" xr:uid="{3C3C735E-F593-8245-8827-7BDA772B54E0}"/>
    <hyperlink ref="B146" r:id="rId25" display="https://www.ohio-demographics.com/miami-county-demographics" xr:uid="{42B7288D-0E97-3A4F-BDDC-12DE08D25280}"/>
    <hyperlink ref="B93" r:id="rId26" display="https://www.ohio-demographics.com/allen-county-demographics" xr:uid="{C1DED665-59A0-F645-B88C-CFD9F614D189}"/>
    <hyperlink ref="B106" r:id="rId27" display="https://www.ohio-demographics.com/columbiana-county-demographics" xr:uid="{F3FDF1FE-B5C3-614E-AFFA-E41273A0A701}"/>
    <hyperlink ref="B95" r:id="rId28" display="https://www.ohio-demographics.com/ashtabula-county-demographics" xr:uid="{185917BB-64B5-C247-93D2-B3820BCB7650}"/>
    <hyperlink ref="B119" r:id="rId29" display="https://www.ohio-demographics.com/geauga-county-demographics" xr:uid="{14354634-5DDC-D04F-A13E-59FBA14240A5}"/>
    <hyperlink ref="B170" r:id="rId30" display="https://www.ohio-demographics.com/tuscarawas-county-demographics" xr:uid="{DEF34448-5437-334E-8E24-0D5AC6BD8F9D}"/>
    <hyperlink ref="B151" r:id="rId31" display="https://www.ohio-demographics.com/muskingum-county-demographics" xr:uid="{EC60F47F-D065-904C-BFF2-116DF15DC7BD}"/>
    <hyperlink ref="B162" r:id="rId32" display="https://www.ohio-demographics.com/ross-county-demographics" xr:uid="{1CCBFE17-58C2-3645-9439-B81C9677533A}"/>
    <hyperlink ref="B123" r:id="rId33" display="https://www.ohio-demographics.com/hancock-county-demographics" xr:uid="{05EC189C-613A-B546-8A82-5B13974DB604}"/>
    <hyperlink ref="B164" r:id="rId34" display="https://www.ohio-demographics.com/scioto-county-demographics" xr:uid="{1FED8093-7B0D-A442-BED4-C144FE9F0658}"/>
    <hyperlink ref="B113" r:id="rId35" display="https://www.ohio-demographics.com/erie-county-demographics" xr:uid="{3F658A59-A52B-B64F-8F6F-CEDA57B13455}"/>
    <hyperlink ref="B98" r:id="rId36" display="https://www.ohio-demographics.com/belmont-county-demographics" xr:uid="{4CAD9962-45B7-964C-980A-76D41E1F57EE}"/>
    <hyperlink ref="B96" r:id="rId37" display="https://www.ohio-demographics.com/athens-county-demographics" xr:uid="{B8E56A04-2EA4-FF44-860A-F4158ADF1717}"/>
    <hyperlink ref="B132" r:id="rId38" display="https://www.ohio-demographics.com/jefferson-county-demographics" xr:uid="{1B8E66FA-EE58-454E-8348-2772C9D8CBD3}"/>
    <hyperlink ref="B142" r:id="rId39" display="https://www.ohio-demographics.com/marion-county-demographics" xr:uid="{CD2E1F91-B753-7B46-85BC-8956910C9E36}"/>
    <hyperlink ref="B133" r:id="rId40" display="https://www.ohio-demographics.com/knox-county-demographics" xr:uid="{99F40A2C-6739-3344-A988-54D43D4333FE}"/>
    <hyperlink ref="B175" r:id="rId41" display="https://www.ohio-demographics.com/washington-county-demographics" xr:uid="{A1831151-2C71-1843-8C57-C074C90EEA2A}"/>
    <hyperlink ref="B135" r:id="rId42" display="https://www.ohio-demographics.com/lawrence-county-demographics" xr:uid="{FEBE0F2E-95BB-1344-AA7C-39C0F1810E26}"/>
    <hyperlink ref="B163" r:id="rId43" display="https://www.ohio-demographics.com/sandusky-county-demographics" xr:uid="{66D77FEE-DAF4-DD4D-9140-BA3EC19A001A}"/>
    <hyperlink ref="B130" r:id="rId44" display="https://www.ohio-demographics.com/huron-county-demographics" xr:uid="{129AFA38-CB9A-684C-9E31-3E315163CBB4}"/>
    <hyperlink ref="B156" r:id="rId45" display="https://www.ohio-demographics.com/pickaway-county-demographics" xr:uid="{18F2EEE0-816C-9E47-86D6-199CB8A8586C}"/>
    <hyperlink ref="B171" r:id="rId46" display="https://www.ohio-demographics.com/union-county-demographics" xr:uid="{4B68231F-D6F9-C744-8E9B-2E355196CFED}"/>
    <hyperlink ref="B165" r:id="rId47" display="https://www.ohio-demographics.com/seneca-county-demographics" xr:uid="{C4EFE6D0-45A1-0248-B6FA-F6C0D0E6970C}"/>
    <hyperlink ref="B94" r:id="rId48" display="https://www.ohio-demographics.com/ashland-county-demographics" xr:uid="{002CA514-6A99-4E44-B679-F69E0C37DFD0}"/>
    <hyperlink ref="B110" r:id="rId49" display="https://www.ohio-demographics.com/darke-county-demographics" xr:uid="{EB8D6232-4444-EE42-9EEA-C20D4737908C}"/>
    <hyperlink ref="B166" r:id="rId50" display="https://www.ohio-demographics.com/shelby-county-demographics" xr:uid="{DA452551-83C6-0A47-A0F1-1F33277694B2}"/>
    <hyperlink ref="B97" r:id="rId51" display="https://www.ohio-demographics.com/auglaize-county-demographics" xr:uid="{76958F98-A569-9E41-A0B3-A9ED8ED1EC23}"/>
    <hyperlink ref="B137" r:id="rId52" display="https://www.ohio-demographics.com/logan-county-demographics" xr:uid="{82D4F4FB-7FD3-1441-A2C8-DD103B45B81A}"/>
    <hyperlink ref="B140" r:id="rId53" display="https://www.ohio-demographics.com/madison-county-demographics" xr:uid="{92706213-15ED-6945-874B-550E27C5FE32}"/>
    <hyperlink ref="B129" r:id="rId54" display="https://www.ohio-demographics.com/holmes-county-demographics" xr:uid="{B52A72A4-FA44-3A4B-A96A-0F2783A30734}"/>
    <hyperlink ref="B99" r:id="rId55" display="https://www.ohio-demographics.com/brown-county-demographics" xr:uid="{09AE782C-F8E7-4044-AE0D-119929BADF0A}"/>
    <hyperlink ref="B127" r:id="rId56" display="https://www.ohio-demographics.com/highland-county-demographics" xr:uid="{B4EF7F63-A964-B546-8CA8-F4EDDB70FC95}"/>
    <hyperlink ref="B117" r:id="rId57" display="https://www.ohio-demographics.com/fulton-county-demographics" xr:uid="{AAA3E1D3-4BBB-DB48-9235-E36292C94396}"/>
    <hyperlink ref="B105" r:id="rId58" display="https://www.ohio-demographics.com/clinton-county-demographics" xr:uid="{CD6E9C13-FBB2-1F4C-8526-EB14D3D5D2B0}"/>
    <hyperlink ref="B108" r:id="rId59" display="https://www.ohio-demographics.com/crawford-county-demographics" xr:uid="{CDCBDFCB-278D-814A-BA1D-24AB459B9E04}"/>
    <hyperlink ref="B145" r:id="rId60" display="https://www.ohio-demographics.com/mercer-county-demographics" xr:uid="{C9B55848-0DD2-FC46-859E-169FC69297EF}"/>
    <hyperlink ref="B159" r:id="rId61" display="https://www.ohio-demographics.com/preble-county-demographics" xr:uid="{28FBF604-54C2-9D4C-A70D-B0928BDB64C3}"/>
    <hyperlink ref="B153" r:id="rId62" display="https://www.ohio-demographics.com/ottawa-county-demographics" xr:uid="{13C89843-244E-A643-88E6-8AC9712B9C45}"/>
    <hyperlink ref="B121" r:id="rId63" display="https://www.ohio-demographics.com/guernsey-county-demographics" xr:uid="{1955635F-2CB8-2843-B3DE-AF2929DCB7D3}"/>
    <hyperlink ref="B102" r:id="rId64" display="https://www.ohio-demographics.com/champaign-county-demographics" xr:uid="{930E5572-6701-9744-8B0D-F5903E02F3C9}"/>
    <hyperlink ref="B111" r:id="rId65" display="https://www.ohio-demographics.com/defiance-county-demographics" xr:uid="{1FF66D04-9204-C04B-9B6D-79489C203488}"/>
    <hyperlink ref="B177" r:id="rId66" display="https://www.ohio-demographics.com/williams-county-demographics" xr:uid="{6C440155-5ADA-AA44-B58F-E78C008D7497}"/>
    <hyperlink ref="B107" r:id="rId67" display="https://www.ohio-demographics.com/coshocton-county-demographics" xr:uid="{E3D8BF88-C0D4-994F-9E39-B36490C30E85}"/>
    <hyperlink ref="B155" r:id="rId68" display="https://www.ohio-demographics.com/perry-county-demographics" xr:uid="{2B6318CD-AA6F-974D-B141-C551E6132FAE}"/>
    <hyperlink ref="B150" r:id="rId69" display="https://www.ohio-demographics.com/morrow-county-demographics" xr:uid="{F0A153A4-F3CF-A246-9EC4-B129039BD19D}"/>
    <hyperlink ref="B160" r:id="rId70" display="https://www.ohio-demographics.com/putnam-county-demographics" xr:uid="{ABC802DA-B52C-8A42-AFC2-3C4B7B28C875}"/>
    <hyperlink ref="B131" r:id="rId71" display="https://www.ohio-demographics.com/jackson-county-demographics" xr:uid="{FC1AC375-B349-DC47-99DE-FC7FB021F8CF}"/>
    <hyperlink ref="B124" r:id="rId72" display="https://www.ohio-demographics.com/hardin-county-demographics" xr:uid="{428759ED-4574-4546-9B2E-484BFE60957C}"/>
    <hyperlink ref="B118" r:id="rId73" display="https://www.ohio-demographics.com/gallia-county-demographics" xr:uid="{FA85F03E-1B24-B041-973C-2A5242027645}"/>
    <hyperlink ref="B115" r:id="rId74" display="https://www.ohio-demographics.com/fayette-county-demographics" xr:uid="{0B926426-B969-AF4D-81E4-A57C06ACCFD3}"/>
    <hyperlink ref="B128" r:id="rId75" display="https://www.ohio-demographics.com/hocking-county-demographics" xr:uid="{90B149E6-CD46-4541-AC5A-7BDCC1796131}"/>
    <hyperlink ref="B172" r:id="rId76" display="https://www.ohio-demographics.com/van-wert-county-demographics" xr:uid="{FBE6AF4D-E624-B64B-B5CB-0E814CFE359F}"/>
    <hyperlink ref="B157" r:id="rId77" display="https://www.ohio-demographics.com/pike-county-demographics" xr:uid="{AD6E3B39-8BA6-6841-AF26-3664AF59B57B}"/>
    <hyperlink ref="B92" r:id="rId78" display="https://www.ohio-demographics.com/adams-county-demographics" xr:uid="{4FF3C170-7AF2-FF48-A3E3-5633C96EF0BA}"/>
    <hyperlink ref="B101" r:id="rId79" display="https://www.ohio-demographics.com/carroll-county-demographics" xr:uid="{4C34B889-F93B-934C-A0F7-2EF472FE9222}"/>
    <hyperlink ref="B126" r:id="rId80" display="https://www.ohio-demographics.com/henry-county-demographics" xr:uid="{A59E95B1-72C2-6F4D-ADAE-607E99E7DBB5}"/>
    <hyperlink ref="B144" r:id="rId81" display="https://www.ohio-demographics.com/meigs-county-demographics" xr:uid="{98B7C6F9-1A4E-6B4E-8600-A6A27077E18B}"/>
    <hyperlink ref="B179" r:id="rId82" display="https://www.ohio-demographics.com/wyandot-county-demographics" xr:uid="{804F9B27-660E-924D-A615-3B4EE3135E66}"/>
    <hyperlink ref="B154" r:id="rId83" display="https://www.ohio-demographics.com/paulding-county-demographics" xr:uid="{E15F7FC0-C893-DA44-95CE-C19E85A80B59}"/>
    <hyperlink ref="B125" r:id="rId84" display="https://www.ohio-demographics.com/harrison-county-demographics" xr:uid="{20CE5AFA-5D70-2846-91A9-5A621F9FCFAC}"/>
    <hyperlink ref="B149" r:id="rId85" display="https://www.ohio-demographics.com/morgan-county-demographics" xr:uid="{EEC69E3F-8CE7-C845-B003-260C3CDB86BD}"/>
    <hyperlink ref="B152" r:id="rId86" display="https://www.ohio-demographics.com/noble-county-demographics" xr:uid="{235CE4EB-7088-1C4B-A797-568EE3849170}"/>
    <hyperlink ref="B147" r:id="rId87" display="https://www.ohio-demographics.com/monroe-county-demographics" xr:uid="{5448C833-E7BF-624A-8A26-361F1FAC55D8}"/>
    <hyperlink ref="B173" r:id="rId88" display="https://www.ohio-demographics.com/vinton-county-demographics" xr:uid="{9ABB6185-CF75-044B-B2CB-ED6B917DBBC9}"/>
  </hyperlinks>
  <pageMargins left="0.7" right="0.7" top="0.75" bottom="0.75" header="0.3" footer="0.3"/>
  <tableParts count="3">
    <tablePart r:id="rId89"/>
    <tablePart r:id="rId90"/>
    <tablePart r:id="rId9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55FD-45EA-BA4F-94DC-60E01CDD8182}">
  <dimension ref="A1:Q157"/>
  <sheetViews>
    <sheetView topLeftCell="B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</cols>
  <sheetData>
    <row r="1" spans="1:17" ht="21">
      <c r="A1" s="95" t="s">
        <v>64</v>
      </c>
      <c r="B1" s="95" t="s">
        <v>1674</v>
      </c>
      <c r="C1" s="95" t="s">
        <v>1702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1531</v>
      </c>
      <c r="B2" s="78" t="s">
        <v>297</v>
      </c>
      <c r="C2" s="78">
        <v>126</v>
      </c>
      <c r="D2" s="78">
        <f>Table82[[#This Row],[2019]]/C81</f>
        <v>5.683099544449957E-3</v>
      </c>
      <c r="F2" s="16" t="s">
        <v>1531</v>
      </c>
      <c r="G2" s="17">
        <v>5585</v>
      </c>
      <c r="H2" s="80">
        <f>Table83[[#This Row],[TRUMP VOTES]]/C81</f>
        <v>0.2519056425059763</v>
      </c>
      <c r="I2" s="18">
        <v>0.78600000000000003</v>
      </c>
      <c r="J2" s="17">
        <v>1387</v>
      </c>
      <c r="K2" s="80">
        <f>Table83[[#This Row],[BIDEN VOTES]]/C81</f>
        <v>6.2559198953588024E-2</v>
      </c>
      <c r="L2" s="18">
        <v>0.19500000000000001</v>
      </c>
      <c r="M2" s="80">
        <f>1-(Table83[[#This Row],[NbP]]+Table83[[#This Row],[NbP2]])</f>
        <v>0.68553515854043567</v>
      </c>
      <c r="O2" t="s">
        <v>1671</v>
      </c>
      <c r="P2">
        <f>CORREL(D:D,H:H)</f>
        <v>-0.24389129759597664</v>
      </c>
      <c r="Q2">
        <v>0.1</v>
      </c>
    </row>
    <row r="3" spans="1:17" ht="20">
      <c r="A3" s="78" t="s">
        <v>2649</v>
      </c>
      <c r="B3" s="78" t="s">
        <v>297</v>
      </c>
      <c r="C3" s="78">
        <v>23</v>
      </c>
      <c r="D3" s="78">
        <f>Table82[[#This Row],[2019]]/C82</f>
        <v>3.9716801934035571E-3</v>
      </c>
      <c r="F3" s="16" t="s">
        <v>2649</v>
      </c>
      <c r="G3" s="17">
        <v>1978</v>
      </c>
      <c r="H3" s="80">
        <f>Table83[[#This Row],[TRUMP VOTES]]/C82</f>
        <v>0.34156449663270594</v>
      </c>
      <c r="I3" s="18">
        <v>0.874</v>
      </c>
      <c r="J3" s="19">
        <v>232</v>
      </c>
      <c r="K3" s="80">
        <f>Table83[[#This Row],[BIDEN VOTES]]/C82</f>
        <v>4.0062165429114144E-2</v>
      </c>
      <c r="L3" s="18">
        <v>0.10299999999999999</v>
      </c>
      <c r="M3" s="80">
        <f>1-(Table83[[#This Row],[NbP]]+Table83[[#This Row],[NbP2]])</f>
        <v>0.61837333793817995</v>
      </c>
      <c r="O3" t="s">
        <v>1672</v>
      </c>
      <c r="P3" s="37">
        <f>CORREL(D:D,K:K)</f>
        <v>0.10897328790437023</v>
      </c>
      <c r="Q3" s="1">
        <v>0.1</v>
      </c>
    </row>
    <row r="4" spans="1:17" ht="20">
      <c r="A4" s="78" t="s">
        <v>2650</v>
      </c>
      <c r="B4" s="78" t="s">
        <v>297</v>
      </c>
      <c r="C4" s="78">
        <v>57</v>
      </c>
      <c r="D4" s="78">
        <f>Table82[[#This Row],[2019]]/C83</f>
        <v>4.1259500542888163E-3</v>
      </c>
      <c r="F4" s="16" t="s">
        <v>2650</v>
      </c>
      <c r="G4" s="17">
        <v>4557</v>
      </c>
      <c r="H4" s="80">
        <f>Table83[[#This Row],[TRUMP VOTES]]/C83</f>
        <v>0.32985884907709012</v>
      </c>
      <c r="I4" s="18">
        <v>0.84599999999999997</v>
      </c>
      <c r="J4" s="19">
        <v>765</v>
      </c>
      <c r="K4" s="80">
        <f>Table83[[#This Row],[BIDEN VOTES]]/C83</f>
        <v>5.5374592833876218E-2</v>
      </c>
      <c r="L4" s="18">
        <v>0.14199999999999999</v>
      </c>
      <c r="M4" s="80">
        <f>1-(Table83[[#This Row],[NbP]]+Table83[[#This Row],[NbP2]])</f>
        <v>0.61476655808903369</v>
      </c>
      <c r="O4" t="s">
        <v>1679</v>
      </c>
      <c r="P4">
        <f>CORREL(D:D,M:M)</f>
        <v>0.22990881855563955</v>
      </c>
      <c r="Q4" s="1">
        <v>0.1</v>
      </c>
    </row>
    <row r="5" spans="1:17" ht="20">
      <c r="A5" s="78" t="s">
        <v>2651</v>
      </c>
      <c r="B5" s="78" t="s">
        <v>297</v>
      </c>
      <c r="C5" s="78">
        <v>1</v>
      </c>
      <c r="D5" s="78">
        <f>Table82[[#This Row],[2019]]/C84</f>
        <v>1.8775816748028539E-4</v>
      </c>
      <c r="F5" s="16" t="s">
        <v>2651</v>
      </c>
      <c r="G5" s="17">
        <v>1968</v>
      </c>
      <c r="H5" s="80">
        <f>Table83[[#This Row],[TRUMP VOTES]]/C84</f>
        <v>0.36950807360120164</v>
      </c>
      <c r="I5" s="18">
        <v>0.90400000000000003</v>
      </c>
      <c r="J5" s="19">
        <v>190</v>
      </c>
      <c r="K5" s="80">
        <f>Table83[[#This Row],[BIDEN VOTES]]/C84</f>
        <v>3.5674051821254223E-2</v>
      </c>
      <c r="L5" s="18">
        <v>8.6999999999999994E-2</v>
      </c>
      <c r="M5" s="80">
        <f>1-(Table83[[#This Row],[NbP]]+Table83[[#This Row],[NbP2]])</f>
        <v>0.59481787457754409</v>
      </c>
    </row>
    <row r="6" spans="1:17" ht="20">
      <c r="A6" s="78" t="s">
        <v>2652</v>
      </c>
      <c r="B6" s="78" t="s">
        <v>297</v>
      </c>
      <c r="C6" s="78">
        <v>96</v>
      </c>
      <c r="D6" s="78">
        <f>Table82[[#This Row],[2019]]/C85</f>
        <v>4.391582799634035E-3</v>
      </c>
      <c r="F6" s="16" t="s">
        <v>2652</v>
      </c>
      <c r="G6" s="17">
        <v>6767</v>
      </c>
      <c r="H6" s="80">
        <f>Table83[[#This Row],[TRUMP VOTES]]/C85</f>
        <v>0.30956084172003662</v>
      </c>
      <c r="I6" s="18">
        <v>0.85099999999999998</v>
      </c>
      <c r="J6" s="17">
        <v>1048</v>
      </c>
      <c r="K6" s="80">
        <f>Table83[[#This Row],[BIDEN VOTES]]/C85</f>
        <v>4.7941445562671547E-2</v>
      </c>
      <c r="L6" s="18">
        <v>0.13200000000000001</v>
      </c>
      <c r="M6" s="80">
        <f>1-(Table83[[#This Row],[NbP]]+Table83[[#This Row],[NbP2]])</f>
        <v>0.64249771271729184</v>
      </c>
    </row>
    <row r="7" spans="1:17" ht="20">
      <c r="A7" s="78" t="s">
        <v>2227</v>
      </c>
      <c r="B7" s="78" t="s">
        <v>297</v>
      </c>
      <c r="C7" s="78">
        <v>61</v>
      </c>
      <c r="D7" s="78">
        <f>Table82[[#This Row],[2019]]/C86</f>
        <v>6.4068900325596053E-3</v>
      </c>
      <c r="F7" s="16" t="s">
        <v>2227</v>
      </c>
      <c r="G7" s="17">
        <v>3136</v>
      </c>
      <c r="H7" s="80">
        <f>Table83[[#This Row],[TRUMP VOTES]]/C86</f>
        <v>0.32937716626404789</v>
      </c>
      <c r="I7" s="18">
        <v>0.80400000000000005</v>
      </c>
      <c r="J7" s="19">
        <v>688</v>
      </c>
      <c r="K7" s="80">
        <f>Table83[[#This Row],[BIDEN VOTES]]/C86</f>
        <v>7.2261317088541124E-2</v>
      </c>
      <c r="L7" s="18">
        <v>0.17599999999999999</v>
      </c>
      <c r="M7" s="80">
        <f>1-(Table83[[#This Row],[NbP]]+Table83[[#This Row],[NbP2]])</f>
        <v>0.598361516647411</v>
      </c>
    </row>
    <row r="8" spans="1:17" ht="20">
      <c r="A8" s="78" t="s">
        <v>1315</v>
      </c>
      <c r="B8" s="78" t="s">
        <v>297</v>
      </c>
      <c r="C8" s="78">
        <v>215</v>
      </c>
      <c r="D8" s="78">
        <f>Table82[[#This Row],[2019]]/C87</f>
        <v>4.5430533544638142E-3</v>
      </c>
      <c r="F8" s="16" t="s">
        <v>1315</v>
      </c>
      <c r="G8" s="17">
        <v>12344</v>
      </c>
      <c r="H8" s="80">
        <f>Table83[[#This Row],[TRUMP VOTES]]/C87</f>
        <v>0.26083465398837824</v>
      </c>
      <c r="I8" s="18">
        <v>0.77300000000000002</v>
      </c>
      <c r="J8" s="17">
        <v>3323</v>
      </c>
      <c r="K8" s="80">
        <f>Table83[[#This Row],[BIDEN VOTES]]/C87</f>
        <v>7.0216587427363975E-2</v>
      </c>
      <c r="L8" s="18">
        <v>0.20799999999999999</v>
      </c>
      <c r="M8" s="80">
        <f>1-(Table83[[#This Row],[NbP]]+Table83[[#This Row],[NbP2]])</f>
        <v>0.66894875858425773</v>
      </c>
    </row>
    <row r="9" spans="1:17" ht="20">
      <c r="A9" s="78" t="s">
        <v>2653</v>
      </c>
      <c r="B9" s="78" t="s">
        <v>297</v>
      </c>
      <c r="C9" s="78">
        <v>105</v>
      </c>
      <c r="D9" s="78">
        <f>Table82[[#This Row],[2019]]/C88</f>
        <v>3.59847835772302E-3</v>
      </c>
      <c r="F9" s="16" t="s">
        <v>2653</v>
      </c>
      <c r="G9" s="17">
        <v>7013</v>
      </c>
      <c r="H9" s="80">
        <f>Table83[[#This Row],[TRUMP VOTES]]/C88</f>
        <v>0.24034408307344324</v>
      </c>
      <c r="I9" s="18">
        <v>0.71099999999999997</v>
      </c>
      <c r="J9" s="17">
        <v>2670</v>
      </c>
      <c r="K9" s="80">
        <f>Table83[[#This Row],[BIDEN VOTES]]/C88</f>
        <v>9.1504163953528228E-2</v>
      </c>
      <c r="L9" s="18">
        <v>0.27100000000000002</v>
      </c>
      <c r="M9" s="80">
        <f>1-(Table83[[#This Row],[NbP]]+Table83[[#This Row],[NbP2]])</f>
        <v>0.66815175297302853</v>
      </c>
    </row>
    <row r="10" spans="1:17" ht="20">
      <c r="A10" s="78" t="s">
        <v>2654</v>
      </c>
      <c r="B10" s="78" t="s">
        <v>297</v>
      </c>
      <c r="C10" s="78">
        <v>438</v>
      </c>
      <c r="D10" s="78">
        <f>Table82[[#This Row],[2019]]/C89</f>
        <v>3.0288361800705345E-3</v>
      </c>
      <c r="F10" s="16" t="s">
        <v>2654</v>
      </c>
      <c r="G10" s="17">
        <v>43550</v>
      </c>
      <c r="H10" s="80">
        <f>Table83[[#This Row],[TRUMP VOTES]]/C89</f>
        <v>0.30115483023304057</v>
      </c>
      <c r="I10" s="18">
        <v>0.70299999999999996</v>
      </c>
      <c r="J10" s="17">
        <v>16742</v>
      </c>
      <c r="K10" s="80">
        <f>Table83[[#This Row],[BIDEN VOTES]]/C89</f>
        <v>0.11577345965009335</v>
      </c>
      <c r="L10" s="18">
        <v>0.27</v>
      </c>
      <c r="M10" s="80">
        <f>1-(Table83[[#This Row],[NbP]]+Table83[[#This Row],[NbP2]])</f>
        <v>0.58307171011686609</v>
      </c>
    </row>
    <row r="11" spans="1:17" ht="20">
      <c r="A11" s="78" t="s">
        <v>179</v>
      </c>
      <c r="B11" s="78" t="s">
        <v>297</v>
      </c>
      <c r="C11" s="78">
        <v>235</v>
      </c>
      <c r="D11" s="78">
        <f>Table82[[#This Row],[2019]]/C90</f>
        <v>4.8573790822653987E-3</v>
      </c>
      <c r="F11" s="16" t="s">
        <v>179</v>
      </c>
      <c r="G11" s="17">
        <v>14699</v>
      </c>
      <c r="H11" s="80">
        <f>Table83[[#This Row],[TRUMP VOTES]]/C90</f>
        <v>0.30382389417114508</v>
      </c>
      <c r="I11" s="18">
        <v>0.755</v>
      </c>
      <c r="J11" s="17">
        <v>4470</v>
      </c>
      <c r="K11" s="80">
        <f>Table83[[#This Row],[BIDEN VOTES]]/C90</f>
        <v>9.2393551054154616E-2</v>
      </c>
      <c r="L11" s="18">
        <v>0.22900000000000001</v>
      </c>
      <c r="M11" s="80">
        <f>1-(Table83[[#This Row],[NbP]]+Table83[[#This Row],[NbP2]])</f>
        <v>0.60378255477470033</v>
      </c>
    </row>
    <row r="12" spans="1:17" ht="20">
      <c r="A12" s="78" t="s">
        <v>366</v>
      </c>
      <c r="B12" s="78" t="s">
        <v>297</v>
      </c>
      <c r="C12" s="78">
        <v>205</v>
      </c>
      <c r="D12" s="78">
        <f>Table82[[#This Row],[2019]]/C91</f>
        <v>4.1947167031572913E-3</v>
      </c>
      <c r="F12" s="16" t="s">
        <v>366</v>
      </c>
      <c r="G12" s="17">
        <v>11223</v>
      </c>
      <c r="H12" s="80">
        <f>Table83[[#This Row],[TRUMP VOTES]]/C91</f>
        <v>0.22964539297333797</v>
      </c>
      <c r="I12" s="18">
        <v>0.63400000000000001</v>
      </c>
      <c r="J12" s="17">
        <v>6027</v>
      </c>
      <c r="K12" s="80">
        <f>Table83[[#This Row],[BIDEN VOTES]]/C91</f>
        <v>0.12332467107282437</v>
      </c>
      <c r="L12" s="18">
        <v>0.34</v>
      </c>
      <c r="M12" s="80">
        <f>1-(Table83[[#This Row],[NbP]]+Table83[[#This Row],[NbP2]])</f>
        <v>0.64702993595383762</v>
      </c>
    </row>
    <row r="13" spans="1:17" ht="20">
      <c r="A13" s="78" t="s">
        <v>928</v>
      </c>
      <c r="B13" s="78" t="s">
        <v>297</v>
      </c>
      <c r="C13" s="78">
        <v>52</v>
      </c>
      <c r="D13" s="78">
        <f>Table82[[#This Row],[2019]]/C92</f>
        <v>3.5309295851157739E-3</v>
      </c>
      <c r="F13" s="16" t="s">
        <v>928</v>
      </c>
      <c r="G13" s="17">
        <v>4698</v>
      </c>
      <c r="H13" s="80">
        <f>Table83[[#This Row],[TRUMP VOTES]]/C92</f>
        <v>0.31900590751680585</v>
      </c>
      <c r="I13" s="18">
        <v>0.80600000000000005</v>
      </c>
      <c r="J13" s="17">
        <v>1082</v>
      </c>
      <c r="K13" s="80">
        <f>Table83[[#This Row],[BIDEN VOTES]]/C92</f>
        <v>7.347049636721667E-2</v>
      </c>
      <c r="L13" s="18">
        <v>0.186</v>
      </c>
      <c r="M13" s="80">
        <f>1-(Table83[[#This Row],[NbP]]+Table83[[#This Row],[NbP2]])</f>
        <v>0.6075235961159775</v>
      </c>
    </row>
    <row r="14" spans="1:17" ht="20">
      <c r="A14" s="78" t="s">
        <v>2655</v>
      </c>
      <c r="B14" s="78" t="s">
        <v>297</v>
      </c>
      <c r="C14" s="78">
        <v>0</v>
      </c>
      <c r="D14" s="78">
        <f>Table82[[#This Row],[2019]]/C93</f>
        <v>0</v>
      </c>
      <c r="F14" s="16" t="s">
        <v>2655</v>
      </c>
      <c r="G14" s="19">
        <v>970</v>
      </c>
      <c r="H14" s="80">
        <f>Table83[[#This Row],[TRUMP VOTES]]/C93</f>
        <v>0.44928207503473833</v>
      </c>
      <c r="I14" s="18">
        <v>0.92</v>
      </c>
      <c r="J14" s="19">
        <v>70</v>
      </c>
      <c r="K14" s="80">
        <f>Table83[[#This Row],[BIDEN VOTES]]/C93</f>
        <v>3.2422417786012042E-2</v>
      </c>
      <c r="L14" s="18">
        <v>6.6000000000000003E-2</v>
      </c>
      <c r="M14" s="80">
        <f>1-(Table83[[#This Row],[NbP]]+Table83[[#This Row],[NbP2]])</f>
        <v>0.51829550717924966</v>
      </c>
    </row>
    <row r="15" spans="1:17" ht="20">
      <c r="A15" s="78" t="s">
        <v>2468</v>
      </c>
      <c r="B15" s="78" t="s">
        <v>297</v>
      </c>
      <c r="C15" s="78">
        <v>749</v>
      </c>
      <c r="D15" s="78">
        <f>Table82[[#This Row],[2019]]/C94</f>
        <v>2.6542494569242602E-3</v>
      </c>
      <c r="F15" s="16" t="s">
        <v>2468</v>
      </c>
      <c r="G15" s="17">
        <v>66677</v>
      </c>
      <c r="H15" s="80">
        <f>Table83[[#This Row],[TRUMP VOTES]]/C94</f>
        <v>0.23628490125412402</v>
      </c>
      <c r="I15" s="18">
        <v>0.55700000000000005</v>
      </c>
      <c r="J15" s="17">
        <v>49827</v>
      </c>
      <c r="K15" s="80">
        <f>Table83[[#This Row],[BIDEN VOTES]]/C94</f>
        <v>0.17657314778393204</v>
      </c>
      <c r="L15" s="18">
        <v>0.41599999999999998</v>
      </c>
      <c r="M15" s="80">
        <f>1-(Table83[[#This Row],[NbP]]+Table83[[#This Row],[NbP2]])</f>
        <v>0.58714195096194399</v>
      </c>
    </row>
    <row r="16" spans="1:17" ht="20">
      <c r="A16" s="78" t="s">
        <v>2656</v>
      </c>
      <c r="B16" s="78" t="s">
        <v>297</v>
      </c>
      <c r="C16" s="78">
        <v>37</v>
      </c>
      <c r="D16" s="78">
        <f>Table82[[#This Row],[2019]]/C95</f>
        <v>6.6343912497758648E-3</v>
      </c>
      <c r="F16" s="16" t="s">
        <v>2656</v>
      </c>
      <c r="G16" s="17">
        <v>2091</v>
      </c>
      <c r="H16" s="80">
        <f>Table83[[#This Row],[TRUMP VOTES]]/C95</f>
        <v>0.37493275954814415</v>
      </c>
      <c r="I16" s="18">
        <v>0.82799999999999996</v>
      </c>
      <c r="J16" s="19">
        <v>374</v>
      </c>
      <c r="K16" s="80">
        <f>Table83[[#This Row],[BIDEN VOTES]]/C95</f>
        <v>6.7061143984220903E-2</v>
      </c>
      <c r="L16" s="18">
        <v>0.14799999999999999</v>
      </c>
      <c r="M16" s="80">
        <f>1-(Table83[[#This Row],[NbP]]+Table83[[#This Row],[NbP2]])</f>
        <v>0.55800609646763499</v>
      </c>
    </row>
    <row r="17" spans="1:13" ht="20">
      <c r="A17" s="78" t="s">
        <v>375</v>
      </c>
      <c r="B17" s="78" t="s">
        <v>297</v>
      </c>
      <c r="C17" s="78">
        <v>430</v>
      </c>
      <c r="D17" s="78">
        <f>Table82[[#This Row],[2019]]/C96</f>
        <v>3.542768632491308E-3</v>
      </c>
      <c r="F17" s="16" t="s">
        <v>375</v>
      </c>
      <c r="G17" s="17">
        <v>20905</v>
      </c>
      <c r="H17" s="80">
        <f>Table83[[#This Row],[TRUMP VOTES]]/C96</f>
        <v>0.1722362285168158</v>
      </c>
      <c r="I17" s="18">
        <v>0.58699999999999997</v>
      </c>
      <c r="J17" s="17">
        <v>13747</v>
      </c>
      <c r="K17" s="80">
        <f>Table83[[#This Row],[BIDEN VOTES]]/C96</f>
        <v>0.11326148928106514</v>
      </c>
      <c r="L17" s="18">
        <v>0.38600000000000001</v>
      </c>
      <c r="M17" s="80">
        <f>1-(Table83[[#This Row],[NbP]]+Table83[[#This Row],[NbP2]])</f>
        <v>0.71450228220211909</v>
      </c>
    </row>
    <row r="18" spans="1:13" ht="20">
      <c r="A18" s="78" t="s">
        <v>2657</v>
      </c>
      <c r="B18" s="78" t="s">
        <v>297</v>
      </c>
      <c r="C18" s="78">
        <v>13</v>
      </c>
      <c r="D18" s="78">
        <f>Table82[[#This Row],[2019]]/C97</f>
        <v>2.2479681826041847E-3</v>
      </c>
      <c r="F18" s="16" t="s">
        <v>2657</v>
      </c>
      <c r="G18" s="17">
        <v>2117</v>
      </c>
      <c r="H18" s="80">
        <f>Table83[[#This Row],[TRUMP VOTES]]/C97</f>
        <v>0.36607297250561993</v>
      </c>
      <c r="I18" s="18">
        <v>0.82299999999999995</v>
      </c>
      <c r="J18" s="19">
        <v>393</v>
      </c>
      <c r="K18" s="80">
        <f>Table83[[#This Row],[BIDEN VOTES]]/C97</f>
        <v>6.7957807366418807E-2</v>
      </c>
      <c r="L18" s="18">
        <v>0.153</v>
      </c>
      <c r="M18" s="80">
        <f>1-(Table83[[#This Row],[NbP]]+Table83[[#This Row],[NbP2]])</f>
        <v>0.56596922012796125</v>
      </c>
    </row>
    <row r="19" spans="1:13" ht="20">
      <c r="A19" s="78" t="s">
        <v>2658</v>
      </c>
      <c r="B19" s="78" t="s">
        <v>297</v>
      </c>
      <c r="C19" s="78">
        <v>124</v>
      </c>
      <c r="D19" s="78">
        <f>Table82[[#This Row],[2019]]/C98</f>
        <v>8.6871234412218019E-3</v>
      </c>
      <c r="F19" s="16" t="s">
        <v>2658</v>
      </c>
      <c r="G19" s="17">
        <v>4686</v>
      </c>
      <c r="H19" s="80">
        <f>Table83[[#This Row],[TRUMP VOTES]]/C98</f>
        <v>0.32828919714165616</v>
      </c>
      <c r="I19" s="18">
        <v>0.77700000000000002</v>
      </c>
      <c r="J19" s="17">
        <v>1217</v>
      </c>
      <c r="K19" s="80">
        <f>Table83[[#This Row],[BIDEN VOTES]]/C98</f>
        <v>8.5259913128765588E-2</v>
      </c>
      <c r="L19" s="18">
        <v>0.20200000000000001</v>
      </c>
      <c r="M19" s="80">
        <f>1-(Table83[[#This Row],[NbP]]+Table83[[#This Row],[NbP2]])</f>
        <v>0.58645088972957826</v>
      </c>
    </row>
    <row r="20" spans="1:13" ht="20">
      <c r="A20" s="78" t="s">
        <v>2659</v>
      </c>
      <c r="B20" s="78" t="s">
        <v>297</v>
      </c>
      <c r="C20" s="78">
        <v>220</v>
      </c>
      <c r="D20" s="78">
        <f>Table82[[#This Row],[2019]]/C99</f>
        <v>3.0767079225229007E-3</v>
      </c>
      <c r="F20" s="16" t="s">
        <v>2659</v>
      </c>
      <c r="G20" s="17">
        <v>23294</v>
      </c>
      <c r="H20" s="80">
        <f>Table83[[#This Row],[TRUMP VOTES]]/C99</f>
        <v>0.3257674288511293</v>
      </c>
      <c r="I20" s="18">
        <v>0.76400000000000001</v>
      </c>
      <c r="J20" s="17">
        <v>6577</v>
      </c>
      <c r="K20" s="80">
        <f>Table83[[#This Row],[BIDEN VOTES]]/C99</f>
        <v>9.1979581847423261E-2</v>
      </c>
      <c r="L20" s="18">
        <v>0.216</v>
      </c>
      <c r="M20" s="80">
        <f>1-(Table83[[#This Row],[NbP]]+Table83[[#This Row],[NbP2]])</f>
        <v>0.58225298930144742</v>
      </c>
    </row>
    <row r="21" spans="1:13" ht="20">
      <c r="A21" s="78" t="s">
        <v>1157</v>
      </c>
      <c r="B21" s="78" t="s">
        <v>297</v>
      </c>
      <c r="C21" s="78">
        <v>146</v>
      </c>
      <c r="D21" s="78">
        <f>Table82[[#This Row],[2019]]/C100</f>
        <v>5.0468388122645097E-3</v>
      </c>
      <c r="F21" s="16" t="s">
        <v>1157</v>
      </c>
      <c r="G21" s="17">
        <v>8060</v>
      </c>
      <c r="H21" s="80">
        <f>Table83[[#This Row],[TRUMP VOTES]]/C100</f>
        <v>0.27861315634830103</v>
      </c>
      <c r="I21" s="18">
        <v>0.754</v>
      </c>
      <c r="J21" s="17">
        <v>2369</v>
      </c>
      <c r="K21" s="80">
        <f>Table83[[#This Row],[BIDEN VOTES]]/C100</f>
        <v>8.1890144837360429E-2</v>
      </c>
      <c r="L21" s="18">
        <v>0.222</v>
      </c>
      <c r="M21" s="80">
        <f>1-(Table83[[#This Row],[NbP]]+Table83[[#This Row],[NbP2]])</f>
        <v>0.63949669881433857</v>
      </c>
    </row>
    <row r="22" spans="1:13" ht="20">
      <c r="A22" s="78" t="s">
        <v>1457</v>
      </c>
      <c r="B22" s="78" t="s">
        <v>297</v>
      </c>
      <c r="C22" s="78">
        <v>105</v>
      </c>
      <c r="D22" s="78">
        <f>Table82[[#This Row],[2019]]/C101</f>
        <v>2.4566575419386538E-3</v>
      </c>
      <c r="F22" s="16" t="s">
        <v>1457</v>
      </c>
      <c r="G22" s="17">
        <v>13557</v>
      </c>
      <c r="H22" s="80">
        <f>Table83[[#This Row],[TRUMP VOTES]]/C101</f>
        <v>0.31718958377202217</v>
      </c>
      <c r="I22" s="18">
        <v>0.78600000000000003</v>
      </c>
      <c r="J22" s="17">
        <v>3472</v>
      </c>
      <c r="K22" s="80">
        <f>Table83[[#This Row],[BIDEN VOTES]]/C101</f>
        <v>8.1233476053438156E-2</v>
      </c>
      <c r="L22" s="18">
        <v>0.20100000000000001</v>
      </c>
      <c r="M22" s="80">
        <f>1-(Table83[[#This Row],[NbP]]+Table83[[#This Row],[NbP2]])</f>
        <v>0.60157694017453966</v>
      </c>
    </row>
    <row r="23" spans="1:13" ht="20">
      <c r="A23" s="78" t="s">
        <v>2660</v>
      </c>
      <c r="B23" s="78" t="s">
        <v>297</v>
      </c>
      <c r="C23" s="78">
        <v>15</v>
      </c>
      <c r="D23" s="78">
        <f>Table82[[#This Row],[2019]]/C102</f>
        <v>3.0706243602865915E-3</v>
      </c>
      <c r="F23" s="16" t="s">
        <v>2660</v>
      </c>
      <c r="G23" s="17">
        <v>2124</v>
      </c>
      <c r="H23" s="80">
        <f>Table83[[#This Row],[TRUMP VOTES]]/C102</f>
        <v>0.43480040941658138</v>
      </c>
      <c r="I23" s="18">
        <v>0.9</v>
      </c>
      <c r="J23" s="19">
        <v>214</v>
      </c>
      <c r="K23" s="80">
        <f>Table83[[#This Row],[BIDEN VOTES]]/C102</f>
        <v>4.3807574206755372E-2</v>
      </c>
      <c r="L23" s="18">
        <v>9.0999999999999998E-2</v>
      </c>
      <c r="M23" s="80">
        <f>1-(Table83[[#This Row],[NbP]]+Table83[[#This Row],[NbP2]])</f>
        <v>0.52139201637666321</v>
      </c>
    </row>
    <row r="24" spans="1:13" ht="20">
      <c r="A24" s="78" t="s">
        <v>397</v>
      </c>
      <c r="B24" s="78" t="s">
        <v>297</v>
      </c>
      <c r="C24" s="78">
        <v>10</v>
      </c>
      <c r="D24" s="78">
        <f>Table82[[#This Row],[2019]]/C103</f>
        <v>2.540650406504065E-3</v>
      </c>
      <c r="F24" s="16" t="s">
        <v>397</v>
      </c>
      <c r="G24" s="17">
        <v>1688</v>
      </c>
      <c r="H24" s="80">
        <f>Table83[[#This Row],[TRUMP VOTES]]/C103</f>
        <v>0.42886178861788615</v>
      </c>
      <c r="I24" s="18">
        <v>0.90100000000000002</v>
      </c>
      <c r="J24" s="19">
        <v>162</v>
      </c>
      <c r="K24" s="80">
        <f>Table83[[#This Row],[BIDEN VOTES]]/C103</f>
        <v>4.1158536585365856E-2</v>
      </c>
      <c r="L24" s="18">
        <v>8.5999999999999993E-2</v>
      </c>
      <c r="M24" s="80">
        <f>1-(Table83[[#This Row],[NbP]]+Table83[[#This Row],[NbP2]])</f>
        <v>0.52997967479674801</v>
      </c>
    </row>
    <row r="25" spans="1:13" ht="20">
      <c r="A25" s="78" t="s">
        <v>1163</v>
      </c>
      <c r="B25" s="78" t="s">
        <v>297</v>
      </c>
      <c r="C25" s="78">
        <v>434</v>
      </c>
      <c r="D25" s="78">
        <f>Table82[[#This Row],[2019]]/C104</f>
        <v>7.0506051498659735E-3</v>
      </c>
      <c r="F25" s="16" t="s">
        <v>1163</v>
      </c>
      <c r="G25" s="17">
        <v>16970</v>
      </c>
      <c r="H25" s="80">
        <f>Table83[[#This Row],[TRUMP VOTES]]/C104</f>
        <v>0.2756884087401511</v>
      </c>
      <c r="I25" s="18">
        <v>0.75700000000000001</v>
      </c>
      <c r="J25" s="17">
        <v>4919</v>
      </c>
      <c r="K25" s="80">
        <f>Table83[[#This Row],[BIDEN VOTES]]/C104</f>
        <v>7.9912273576476317E-2</v>
      </c>
      <c r="L25" s="18">
        <v>0.219</v>
      </c>
      <c r="M25" s="80">
        <f>1-(Table83[[#This Row],[NbP]]+Table83[[#This Row],[NbP2]])</f>
        <v>0.64439931768337255</v>
      </c>
    </row>
    <row r="26" spans="1:13" ht="20">
      <c r="A26" s="78" t="s">
        <v>2661</v>
      </c>
      <c r="B26" s="78" t="s">
        <v>297</v>
      </c>
      <c r="C26" s="78">
        <v>92</v>
      </c>
      <c r="D26" s="78">
        <f>Table82[[#This Row],[2019]]/C105</f>
        <v>3.3106624923530895E-3</v>
      </c>
      <c r="F26" s="16" t="s">
        <v>2661</v>
      </c>
      <c r="G26" s="17">
        <v>8878</v>
      </c>
      <c r="H26" s="80">
        <f>Table83[[#This Row],[TRUMP VOTES]]/C105</f>
        <v>0.3194789305120731</v>
      </c>
      <c r="I26" s="18">
        <v>0.81299999999999994</v>
      </c>
      <c r="J26" s="17">
        <v>1865</v>
      </c>
      <c r="K26" s="80">
        <f>Table83[[#This Row],[BIDEN VOTES]]/C105</f>
        <v>6.711288639389687E-2</v>
      </c>
      <c r="L26" s="18">
        <v>0.17100000000000001</v>
      </c>
      <c r="M26" s="80">
        <f>1-(Table83[[#This Row],[NbP]]+Table83[[#This Row],[NbP2]])</f>
        <v>0.61340818309403</v>
      </c>
    </row>
    <row r="27" spans="1:13" ht="20">
      <c r="A27" s="78" t="s">
        <v>1347</v>
      </c>
      <c r="B27" s="78" t="s">
        <v>297</v>
      </c>
      <c r="C27" s="78">
        <v>122</v>
      </c>
      <c r="D27" s="78">
        <f>Table82[[#This Row],[2019]]/C106</f>
        <v>2.2055500316369883E-3</v>
      </c>
      <c r="F27" s="16" t="s">
        <v>1347</v>
      </c>
      <c r="G27" s="17">
        <v>18538</v>
      </c>
      <c r="H27" s="80">
        <f>Table83[[#This Row],[TRUMP VOTES]]/C106</f>
        <v>0.33513513513513515</v>
      </c>
      <c r="I27" s="18">
        <v>0.80200000000000005</v>
      </c>
      <c r="J27" s="17">
        <v>4144</v>
      </c>
      <c r="K27" s="80">
        <f>Table83[[#This Row],[BIDEN VOTES]]/C106</f>
        <v>7.4916387959866215E-2</v>
      </c>
      <c r="L27" s="18">
        <v>0.17899999999999999</v>
      </c>
      <c r="M27" s="80">
        <f>1-(Table83[[#This Row],[NbP]]+Table83[[#This Row],[NbP2]])</f>
        <v>0.58994847690499863</v>
      </c>
    </row>
    <row r="28" spans="1:13" ht="20">
      <c r="A28" s="78" t="s">
        <v>278</v>
      </c>
      <c r="B28" s="78" t="s">
        <v>297</v>
      </c>
      <c r="C28" s="78">
        <v>3</v>
      </c>
      <c r="D28" s="78">
        <f>Table82[[#This Row],[2019]]/C107</f>
        <v>6.8665598535133903E-4</v>
      </c>
      <c r="F28" s="16" t="s">
        <v>278</v>
      </c>
      <c r="G28" s="17">
        <v>1916</v>
      </c>
      <c r="H28" s="80">
        <f>Table83[[#This Row],[TRUMP VOTES]]/C107</f>
        <v>0.43854428931105516</v>
      </c>
      <c r="I28" s="18">
        <v>0.86099999999999999</v>
      </c>
      <c r="J28" s="19">
        <v>280</v>
      </c>
      <c r="K28" s="80">
        <f>Table83[[#This Row],[BIDEN VOTES]]/C107</f>
        <v>6.4087891966124966E-2</v>
      </c>
      <c r="L28" s="18">
        <v>0.126</v>
      </c>
      <c r="M28" s="80">
        <f>1-(Table83[[#This Row],[NbP]]+Table83[[#This Row],[NbP2]])</f>
        <v>0.49736781872281988</v>
      </c>
    </row>
    <row r="29" spans="1:13" ht="20">
      <c r="A29" s="78" t="s">
        <v>2662</v>
      </c>
      <c r="B29" s="78" t="s">
        <v>297</v>
      </c>
      <c r="C29" s="78">
        <v>19</v>
      </c>
      <c r="D29" s="78">
        <f>Table82[[#This Row],[2019]]/C108</f>
        <v>3.2815198618307427E-3</v>
      </c>
      <c r="F29" s="16" t="s">
        <v>2662</v>
      </c>
      <c r="G29" s="17">
        <v>1605</v>
      </c>
      <c r="H29" s="80">
        <f>Table83[[#This Row],[TRUMP VOTES]]/C108</f>
        <v>0.27720207253886009</v>
      </c>
      <c r="I29" s="18">
        <v>0.81299999999999994</v>
      </c>
      <c r="J29" s="19">
        <v>328</v>
      </c>
      <c r="K29" s="80">
        <f>Table83[[#This Row],[BIDEN VOTES]]/C108</f>
        <v>5.6649395509499136E-2</v>
      </c>
      <c r="L29" s="18">
        <v>0.16600000000000001</v>
      </c>
      <c r="M29" s="80">
        <f>1-(Table83[[#This Row],[NbP]]+Table83[[#This Row],[NbP2]])</f>
        <v>0.6661485319516407</v>
      </c>
    </row>
    <row r="30" spans="1:13" ht="20">
      <c r="A30" s="78" t="s">
        <v>2663</v>
      </c>
      <c r="B30" s="78" t="s">
        <v>297</v>
      </c>
      <c r="C30" s="78">
        <v>9</v>
      </c>
      <c r="D30" s="78">
        <f>Table82[[#This Row],[2019]]/C109</f>
        <v>3.379647014645137E-3</v>
      </c>
      <c r="F30" s="16" t="s">
        <v>2663</v>
      </c>
      <c r="G30" s="19">
        <v>747</v>
      </c>
      <c r="H30" s="80">
        <f>Table83[[#This Row],[TRUMP VOTES]]/C109</f>
        <v>0.28051070221554636</v>
      </c>
      <c r="I30" s="18">
        <v>0.80100000000000005</v>
      </c>
      <c r="J30" s="19">
        <v>177</v>
      </c>
      <c r="K30" s="80">
        <f>Table83[[#This Row],[BIDEN VOTES]]/C109</f>
        <v>6.6466391288021023E-2</v>
      </c>
      <c r="L30" s="18">
        <v>0.19</v>
      </c>
      <c r="M30" s="80">
        <f>1-(Table83[[#This Row],[NbP]]+Table83[[#This Row],[NbP2]])</f>
        <v>0.65302290649643258</v>
      </c>
    </row>
    <row r="31" spans="1:13" ht="20">
      <c r="A31" s="78" t="s">
        <v>2664</v>
      </c>
      <c r="B31" s="78" t="s">
        <v>297</v>
      </c>
      <c r="C31" s="78">
        <v>4</v>
      </c>
      <c r="D31" s="78">
        <f>Table82[[#This Row],[2019]]/C110</f>
        <v>1.0723860589812334E-3</v>
      </c>
      <c r="F31" s="16" t="s">
        <v>2664</v>
      </c>
      <c r="G31" s="17">
        <v>1327</v>
      </c>
      <c r="H31" s="80">
        <f>Table83[[#This Row],[TRUMP VOTES]]/C110</f>
        <v>0.35576407506702412</v>
      </c>
      <c r="I31" s="18">
        <v>0.89200000000000002</v>
      </c>
      <c r="J31" s="19">
        <v>136</v>
      </c>
      <c r="K31" s="80">
        <f>Table83[[#This Row],[BIDEN VOTES]]/C110</f>
        <v>3.646112600536193E-2</v>
      </c>
      <c r="L31" s="18">
        <v>9.0999999999999998E-2</v>
      </c>
      <c r="M31" s="80">
        <f>1-(Table83[[#This Row],[NbP]]+Table83[[#This Row],[NbP2]])</f>
        <v>0.60777479892761388</v>
      </c>
    </row>
    <row r="32" spans="1:13" ht="20">
      <c r="A32" s="78" t="s">
        <v>426</v>
      </c>
      <c r="B32" s="78" t="s">
        <v>297</v>
      </c>
      <c r="C32" s="78">
        <v>64</v>
      </c>
      <c r="D32" s="78">
        <f>Table82[[#This Row],[2019]]/C111</f>
        <v>5.0441361916771753E-3</v>
      </c>
      <c r="F32" s="16" t="s">
        <v>426</v>
      </c>
      <c r="G32" s="17">
        <v>4165</v>
      </c>
      <c r="H32" s="80">
        <f>Table83[[#This Row],[TRUMP VOTES]]/C111</f>
        <v>0.32826292559899117</v>
      </c>
      <c r="I32" s="18">
        <v>0.83099999999999996</v>
      </c>
      <c r="J32" s="19">
        <v>783</v>
      </c>
      <c r="K32" s="80">
        <f>Table83[[#This Row],[BIDEN VOTES]]/C111</f>
        <v>6.171185372005044E-2</v>
      </c>
      <c r="L32" s="18">
        <v>0.156</v>
      </c>
      <c r="M32" s="80">
        <f>1-(Table83[[#This Row],[NbP]]+Table83[[#This Row],[NbP2]])</f>
        <v>0.61002522068095844</v>
      </c>
    </row>
    <row r="33" spans="1:13" ht="20">
      <c r="A33" s="78" t="s">
        <v>2665</v>
      </c>
      <c r="B33" s="78" t="s">
        <v>297</v>
      </c>
      <c r="C33" s="78">
        <v>35</v>
      </c>
      <c r="D33" s="78">
        <f>Table82[[#This Row],[2019]]/C112</f>
        <v>2.6385224274406332E-3</v>
      </c>
      <c r="F33" s="16" t="s">
        <v>2665</v>
      </c>
      <c r="G33" s="17">
        <v>3875</v>
      </c>
      <c r="H33" s="80">
        <f>Table83[[#This Row],[TRUMP VOTES]]/C112</f>
        <v>0.29212212589521297</v>
      </c>
      <c r="I33" s="18">
        <v>0.79800000000000004</v>
      </c>
      <c r="J33" s="19">
        <v>919</v>
      </c>
      <c r="K33" s="80">
        <f>Table83[[#This Row],[BIDEN VOTES]]/C112</f>
        <v>6.9280060309084054E-2</v>
      </c>
      <c r="L33" s="18">
        <v>0.189</v>
      </c>
      <c r="M33" s="80">
        <f>1-(Table83[[#This Row],[NbP]]+Table83[[#This Row],[NbP2]])</f>
        <v>0.63859781379570291</v>
      </c>
    </row>
    <row r="34" spans="1:13" ht="20">
      <c r="A34" s="78" t="s">
        <v>213</v>
      </c>
      <c r="B34" s="78" t="s">
        <v>297</v>
      </c>
      <c r="C34" s="78">
        <v>120</v>
      </c>
      <c r="D34" s="78">
        <f>Table82[[#This Row],[2019]]/C113</f>
        <v>4.8371493066752657E-3</v>
      </c>
      <c r="F34" s="16" t="s">
        <v>213</v>
      </c>
      <c r="G34" s="17">
        <v>6392</v>
      </c>
      <c r="H34" s="80">
        <f>Table83[[#This Row],[TRUMP VOTES]]/C113</f>
        <v>0.25765881973556914</v>
      </c>
      <c r="I34" s="18">
        <v>0.77800000000000002</v>
      </c>
      <c r="J34" s="17">
        <v>1646</v>
      </c>
      <c r="K34" s="80">
        <f>Table83[[#This Row],[BIDEN VOTES]]/C113</f>
        <v>6.6349564656562401E-2</v>
      </c>
      <c r="L34" s="18">
        <v>0.2</v>
      </c>
      <c r="M34" s="80">
        <f>1-(Table83[[#This Row],[NbP]]+Table83[[#This Row],[NbP2]])</f>
        <v>0.67599161560786847</v>
      </c>
    </row>
    <row r="35" spans="1:13" ht="20">
      <c r="A35" s="78" t="s">
        <v>214</v>
      </c>
      <c r="B35" s="78" t="s">
        <v>297</v>
      </c>
      <c r="C35" s="78">
        <v>31</v>
      </c>
      <c r="D35" s="78">
        <f>Table82[[#This Row],[2019]]/C114</f>
        <v>5.0953320184089412E-3</v>
      </c>
      <c r="F35" s="16" t="s">
        <v>214</v>
      </c>
      <c r="G35" s="17">
        <v>2026</v>
      </c>
      <c r="H35" s="80">
        <f>Table83[[#This Row],[TRUMP VOTES]]/C114</f>
        <v>0.33300460223537148</v>
      </c>
      <c r="I35" s="18">
        <v>0.84899999999999998</v>
      </c>
      <c r="J35" s="19">
        <v>319</v>
      </c>
      <c r="K35" s="80">
        <f>Table83[[#This Row],[BIDEN VOTES]]/C114</f>
        <v>5.2432610124917817E-2</v>
      </c>
      <c r="L35" s="18">
        <v>0.13400000000000001</v>
      </c>
      <c r="M35" s="80">
        <f>1-(Table83[[#This Row],[NbP]]+Table83[[#This Row],[NbP2]])</f>
        <v>0.61456278763971073</v>
      </c>
    </row>
    <row r="36" spans="1:13" ht="20">
      <c r="A36" s="78" t="s">
        <v>2487</v>
      </c>
      <c r="B36" s="78" t="s">
        <v>297</v>
      </c>
      <c r="C36" s="78">
        <v>44</v>
      </c>
      <c r="D36" s="78">
        <f>Table82[[#This Row],[2019]]/C115</f>
        <v>3.989844033369605E-3</v>
      </c>
      <c r="F36" s="16" t="s">
        <v>2487</v>
      </c>
      <c r="G36" s="17">
        <v>3441</v>
      </c>
      <c r="H36" s="80">
        <f>Table83[[#This Row],[TRUMP VOTES]]/C115</f>
        <v>0.31202393906420023</v>
      </c>
      <c r="I36" s="18">
        <v>0.80900000000000005</v>
      </c>
      <c r="J36" s="19">
        <v>738</v>
      </c>
      <c r="K36" s="80">
        <f>Table83[[#This Row],[BIDEN VOTES]]/C115</f>
        <v>6.6920565832426546E-2</v>
      </c>
      <c r="L36" s="18">
        <v>0.17399999999999999</v>
      </c>
      <c r="M36" s="80">
        <f>1-(Table83[[#This Row],[NbP]]+Table83[[#This Row],[NbP2]])</f>
        <v>0.62105549510337321</v>
      </c>
    </row>
    <row r="37" spans="1:13" ht="20">
      <c r="A37" s="78" t="s">
        <v>2666</v>
      </c>
      <c r="B37" s="78" t="s">
        <v>297</v>
      </c>
      <c r="C37" s="78">
        <v>398</v>
      </c>
      <c r="D37" s="78">
        <f>Table82[[#This Row],[2019]]/C116</f>
        <v>9.0302672777601307E-3</v>
      </c>
      <c r="F37" s="16" t="s">
        <v>2666</v>
      </c>
      <c r="G37" s="17">
        <v>12834</v>
      </c>
      <c r="H37" s="80">
        <f>Table83[[#This Row],[TRUMP VOTES]]/C116</f>
        <v>0.29119208603711938</v>
      </c>
      <c r="I37" s="18">
        <v>0.74399999999999999</v>
      </c>
      <c r="J37" s="17">
        <v>4040</v>
      </c>
      <c r="K37" s="80">
        <f>Table83[[#This Row],[BIDEN VOTES]]/C116</f>
        <v>9.1664019603394292E-2</v>
      </c>
      <c r="L37" s="18">
        <v>0.23400000000000001</v>
      </c>
      <c r="M37" s="80">
        <f>1-(Table83[[#This Row],[NbP]]+Table83[[#This Row],[NbP2]])</f>
        <v>0.61714389435948636</v>
      </c>
    </row>
    <row r="38" spans="1:13" ht="20">
      <c r="A38" s="78" t="s">
        <v>2667</v>
      </c>
      <c r="B38" s="78" t="s">
        <v>297</v>
      </c>
      <c r="C38" s="78">
        <v>70</v>
      </c>
      <c r="D38" s="78">
        <f>Table82[[#This Row],[2019]]/C117</f>
        <v>4.4272974511416104E-3</v>
      </c>
      <c r="F38" s="16" t="s">
        <v>2667</v>
      </c>
      <c r="G38" s="17">
        <v>5521</v>
      </c>
      <c r="H38" s="80">
        <f>Table83[[#This Row],[TRUMP VOTES]]/C117</f>
        <v>0.3491872746821833</v>
      </c>
      <c r="I38" s="18">
        <v>0.85399999999999998</v>
      </c>
      <c r="J38" s="19">
        <v>854</v>
      </c>
      <c r="K38" s="80">
        <f>Table83[[#This Row],[BIDEN VOTES]]/C117</f>
        <v>5.4013028903927646E-2</v>
      </c>
      <c r="L38" s="18">
        <v>0.13200000000000001</v>
      </c>
      <c r="M38" s="80">
        <f>1-(Table83[[#This Row],[NbP]]+Table83[[#This Row],[NbP2]])</f>
        <v>0.59679969641388908</v>
      </c>
    </row>
    <row r="39" spans="1:13" ht="20">
      <c r="A39" s="78" t="s">
        <v>1169</v>
      </c>
      <c r="B39" s="78" t="s">
        <v>297</v>
      </c>
      <c r="C39" s="78">
        <v>60</v>
      </c>
      <c r="D39" s="78">
        <f>Table82[[#This Row],[2019]]/C118</f>
        <v>6.8058076225045372E-3</v>
      </c>
      <c r="F39" s="16" t="s">
        <v>1169</v>
      </c>
      <c r="G39" s="17">
        <v>2673</v>
      </c>
      <c r="H39" s="80">
        <f>Table83[[#This Row],[TRUMP VOTES]]/C118</f>
        <v>0.30319872958257715</v>
      </c>
      <c r="I39" s="18">
        <v>0.78</v>
      </c>
      <c r="J39" s="19">
        <v>699</v>
      </c>
      <c r="K39" s="80">
        <f>Table83[[#This Row],[BIDEN VOTES]]/C118</f>
        <v>7.9287658802177863E-2</v>
      </c>
      <c r="L39" s="18">
        <v>0.20399999999999999</v>
      </c>
      <c r="M39" s="80">
        <f>1-(Table83[[#This Row],[NbP]]+Table83[[#This Row],[NbP2]])</f>
        <v>0.61751361161524498</v>
      </c>
    </row>
    <row r="40" spans="1:13" ht="20">
      <c r="A40" s="78" t="s">
        <v>2668</v>
      </c>
      <c r="B40" s="78" t="s">
        <v>297</v>
      </c>
      <c r="C40" s="78">
        <v>61</v>
      </c>
      <c r="D40" s="78">
        <f>Table82[[#This Row],[2019]]/C119</f>
        <v>5.9576130481492334E-3</v>
      </c>
      <c r="F40" s="16" t="s">
        <v>2668</v>
      </c>
      <c r="G40" s="17">
        <v>3437</v>
      </c>
      <c r="H40" s="80">
        <f>Table83[[#This Row],[TRUMP VOTES]]/C119</f>
        <v>0.33567731223752317</v>
      </c>
      <c r="I40" s="18">
        <v>0.80900000000000005</v>
      </c>
      <c r="J40" s="19">
        <v>762</v>
      </c>
      <c r="K40" s="80">
        <f>Table83[[#This Row],[BIDEN VOTES]]/C119</f>
        <v>7.442133020802813E-2</v>
      </c>
      <c r="L40" s="18">
        <v>0.17899999999999999</v>
      </c>
      <c r="M40" s="80">
        <f>1-(Table83[[#This Row],[NbP]]+Table83[[#This Row],[NbP2]])</f>
        <v>0.58990135755444872</v>
      </c>
    </row>
    <row r="41" spans="1:13" ht="20">
      <c r="A41" s="78" t="s">
        <v>2669</v>
      </c>
      <c r="B41" s="78" t="s">
        <v>297</v>
      </c>
      <c r="C41" s="78">
        <v>191</v>
      </c>
      <c r="D41" s="78">
        <f>Table82[[#This Row],[2019]]/C120</f>
        <v>3.8200764015280304E-3</v>
      </c>
      <c r="F41" s="16" t="s">
        <v>2669</v>
      </c>
      <c r="G41" s="17">
        <v>15213</v>
      </c>
      <c r="H41" s="80">
        <f>Table83[[#This Row],[TRUMP VOTES]]/C120</f>
        <v>0.30426608532170646</v>
      </c>
      <c r="I41" s="18">
        <v>0.80900000000000005</v>
      </c>
      <c r="J41" s="17">
        <v>3299</v>
      </c>
      <c r="K41" s="80">
        <f>Table83[[#This Row],[BIDEN VOTES]]/C120</f>
        <v>6.5981319626392532E-2</v>
      </c>
      <c r="L41" s="18">
        <v>0.17499999999999999</v>
      </c>
      <c r="M41" s="80">
        <f>1-(Table83[[#This Row],[NbP]]+Table83[[#This Row],[NbP2]])</f>
        <v>0.62975259505190095</v>
      </c>
    </row>
    <row r="42" spans="1:13" ht="20">
      <c r="A42" s="78" t="s">
        <v>221</v>
      </c>
      <c r="B42" s="78" t="s">
        <v>297</v>
      </c>
      <c r="C42" s="78">
        <v>180</v>
      </c>
      <c r="D42" s="78">
        <f>Table82[[#This Row],[2019]]/C121</f>
        <v>5.1522784520265626E-3</v>
      </c>
      <c r="F42" s="16" t="s">
        <v>221</v>
      </c>
      <c r="G42" s="17">
        <v>12013</v>
      </c>
      <c r="H42" s="80">
        <f>Table83[[#This Row],[TRUMP VOTES]]/C121</f>
        <v>0.34385733913441724</v>
      </c>
      <c r="I42" s="18">
        <v>0.80700000000000005</v>
      </c>
      <c r="J42" s="17">
        <v>2609</v>
      </c>
      <c r="K42" s="80">
        <f>Table83[[#This Row],[BIDEN VOTES]]/C121</f>
        <v>7.4679413785207233E-2</v>
      </c>
      <c r="L42" s="18">
        <v>0.17499999999999999</v>
      </c>
      <c r="M42" s="80">
        <f>1-(Table83[[#This Row],[NbP]]+Table83[[#This Row],[NbP2]])</f>
        <v>0.58146324708037556</v>
      </c>
    </row>
    <row r="43" spans="1:13" ht="20">
      <c r="A43" s="78" t="s">
        <v>837</v>
      </c>
      <c r="B43" s="78" t="s">
        <v>297</v>
      </c>
      <c r="C43" s="78">
        <v>181</v>
      </c>
      <c r="D43" s="78">
        <f>Table82[[#This Row],[2019]]/C122</f>
        <v>3.8184848420919392E-3</v>
      </c>
      <c r="F43" s="16" t="s">
        <v>837</v>
      </c>
      <c r="G43" s="17">
        <v>15608</v>
      </c>
      <c r="H43" s="80">
        <f>Table83[[#This Row],[TRUMP VOTES]]/C122</f>
        <v>0.32927575367608281</v>
      </c>
      <c r="I43" s="18">
        <v>0.72299999999999998</v>
      </c>
      <c r="J43" s="17">
        <v>5455</v>
      </c>
      <c r="K43" s="80">
        <f>Table83[[#This Row],[BIDEN VOTES]]/C122</f>
        <v>0.11508196029619629</v>
      </c>
      <c r="L43" s="18">
        <v>0.253</v>
      </c>
      <c r="M43" s="80">
        <f>1-(Table83[[#This Row],[NbP]]+Table83[[#This Row],[NbP2]])</f>
        <v>0.55564228602772092</v>
      </c>
    </row>
    <row r="44" spans="1:13" ht="20">
      <c r="A44" s="78" t="s">
        <v>2670</v>
      </c>
      <c r="B44" s="78" t="s">
        <v>297</v>
      </c>
      <c r="C44" s="78">
        <v>36</v>
      </c>
      <c r="D44" s="78">
        <f>Table82[[#This Row],[2019]]/C123</f>
        <v>3.5545023696682463E-3</v>
      </c>
      <c r="F44" s="16" t="s">
        <v>2670</v>
      </c>
      <c r="G44" s="17">
        <v>3305</v>
      </c>
      <c r="H44" s="80">
        <f>Table83[[#This Row],[TRUMP VOTES]]/C123</f>
        <v>0.32632306477093209</v>
      </c>
      <c r="I44" s="18">
        <v>0.81100000000000005</v>
      </c>
      <c r="J44" s="19">
        <v>711</v>
      </c>
      <c r="K44" s="80">
        <f>Table83[[#This Row],[BIDEN VOTES]]/C123</f>
        <v>7.0201421800947864E-2</v>
      </c>
      <c r="L44" s="18">
        <v>0.17399999999999999</v>
      </c>
      <c r="M44" s="80">
        <f>1-(Table83[[#This Row],[NbP]]+Table83[[#This Row],[NbP2]])</f>
        <v>0.60347551342812</v>
      </c>
    </row>
    <row r="45" spans="1:13" ht="20">
      <c r="A45" s="78" t="s">
        <v>2671</v>
      </c>
      <c r="B45" s="78" t="s">
        <v>297</v>
      </c>
      <c r="C45" s="78">
        <v>47</v>
      </c>
      <c r="D45" s="78">
        <f>Table82[[#This Row],[2019]]/C124</f>
        <v>6.1405800888424357E-3</v>
      </c>
      <c r="F45" s="16" t="s">
        <v>2671</v>
      </c>
      <c r="G45" s="17">
        <v>3084</v>
      </c>
      <c r="H45" s="80">
        <f>Table83[[#This Row],[TRUMP VOTES]]/C124</f>
        <v>0.40292657434021428</v>
      </c>
      <c r="I45" s="18">
        <v>0.89</v>
      </c>
      <c r="J45" s="19">
        <v>320</v>
      </c>
      <c r="K45" s="80">
        <f>Table83[[#This Row],[BIDEN VOTES]]/C124</f>
        <v>4.1808204860203813E-2</v>
      </c>
      <c r="L45" s="18">
        <v>9.1999999999999998E-2</v>
      </c>
      <c r="M45" s="80">
        <f>1-(Table83[[#This Row],[NbP]]+Table83[[#This Row],[NbP2]])</f>
        <v>0.55526522079958185</v>
      </c>
    </row>
    <row r="46" spans="1:13" ht="20">
      <c r="A46" s="78" t="s">
        <v>228</v>
      </c>
      <c r="B46" s="78" t="s">
        <v>297</v>
      </c>
      <c r="C46" s="78">
        <v>50</v>
      </c>
      <c r="D46" s="78">
        <f>Table82[[#This Row],[2019]]/C125</f>
        <v>2.9961649089165869E-3</v>
      </c>
      <c r="F46" s="16" t="s">
        <v>228</v>
      </c>
      <c r="G46" s="17">
        <v>4891</v>
      </c>
      <c r="H46" s="80">
        <f>Table83[[#This Row],[TRUMP VOTES]]/C125</f>
        <v>0.2930848513902205</v>
      </c>
      <c r="I46" s="18">
        <v>0.80700000000000005</v>
      </c>
      <c r="J46" s="17">
        <v>1100</v>
      </c>
      <c r="K46" s="80">
        <f>Table83[[#This Row],[BIDEN VOTES]]/C125</f>
        <v>6.5915627996164905E-2</v>
      </c>
      <c r="L46" s="18">
        <v>0.18099999999999999</v>
      </c>
      <c r="M46" s="80">
        <f>1-(Table83[[#This Row],[NbP]]+Table83[[#This Row],[NbP2]])</f>
        <v>0.64099952061361454</v>
      </c>
    </row>
    <row r="47" spans="1:13" ht="20">
      <c r="A47" s="78" t="s">
        <v>2672</v>
      </c>
      <c r="B47" s="78" t="s">
        <v>297</v>
      </c>
      <c r="C47" s="78">
        <v>128</v>
      </c>
      <c r="D47" s="78">
        <f>Table82[[#This Row],[2019]]/C126</f>
        <v>3.114506788651516E-3</v>
      </c>
      <c r="F47" s="16" t="s">
        <v>2672</v>
      </c>
      <c r="G47" s="17">
        <v>12749</v>
      </c>
      <c r="H47" s="80">
        <f>Table83[[#This Row],[TRUMP VOTES]]/C126</f>
        <v>0.31020974256654826</v>
      </c>
      <c r="I47" s="18">
        <v>0.76700000000000002</v>
      </c>
      <c r="J47" s="17">
        <v>3581</v>
      </c>
      <c r="K47" s="80">
        <f>Table83[[#This Row],[BIDEN VOTES]]/C126</f>
        <v>8.7133193829383421E-2</v>
      </c>
      <c r="L47" s="18">
        <v>0.215</v>
      </c>
      <c r="M47" s="80">
        <f>1-(Table83[[#This Row],[NbP]]+Table83[[#This Row],[NbP2]])</f>
        <v>0.60265706360406834</v>
      </c>
    </row>
    <row r="48" spans="1:13" ht="20">
      <c r="A48" s="78" t="s">
        <v>2673</v>
      </c>
      <c r="B48" s="78" t="s">
        <v>297</v>
      </c>
      <c r="C48" s="78">
        <v>49</v>
      </c>
      <c r="D48" s="78">
        <f>Table82[[#This Row],[2019]]/C127</f>
        <v>1.2274241627213747E-3</v>
      </c>
      <c r="F48" s="16" t="s">
        <v>2673</v>
      </c>
      <c r="G48" s="17">
        <v>15295</v>
      </c>
      <c r="H48" s="80">
        <f>Table83[[#This Row],[TRUMP VOTES]]/C127</f>
        <v>0.38313168507802908</v>
      </c>
      <c r="I48" s="18">
        <v>0.79500000000000004</v>
      </c>
      <c r="J48" s="17">
        <v>3582</v>
      </c>
      <c r="K48" s="80">
        <f>Table83[[#This Row],[BIDEN VOTES]]/C127</f>
        <v>8.9727211242203356E-2</v>
      </c>
      <c r="L48" s="18">
        <v>0.186</v>
      </c>
      <c r="M48" s="80">
        <f>1-(Table83[[#This Row],[NbP]]+Table83[[#This Row],[NbP2]])</f>
        <v>0.52714110367976752</v>
      </c>
    </row>
    <row r="49" spans="1:13" ht="20">
      <c r="A49" s="78" t="s">
        <v>2674</v>
      </c>
      <c r="B49" s="78" t="s">
        <v>297</v>
      </c>
      <c r="C49" s="78">
        <v>145</v>
      </c>
      <c r="D49" s="78">
        <f>Table82[[#This Row],[2019]]/C128</f>
        <v>4.4055540363989914E-3</v>
      </c>
      <c r="F49" s="16" t="s">
        <v>2674</v>
      </c>
      <c r="G49" s="17">
        <v>9485</v>
      </c>
      <c r="H49" s="80">
        <f>Table83[[#This Row],[TRUMP VOTES]]/C128</f>
        <v>0.28818400024306506</v>
      </c>
      <c r="I49" s="18">
        <v>0.82699999999999996</v>
      </c>
      <c r="J49" s="17">
        <v>1858</v>
      </c>
      <c r="K49" s="80">
        <f>Table83[[#This Row],[BIDEN VOTES]]/C128</f>
        <v>5.6451857928478108E-2</v>
      </c>
      <c r="L49" s="18">
        <v>0.16200000000000001</v>
      </c>
      <c r="M49" s="80">
        <f>1-(Table83[[#This Row],[NbP]]+Table83[[#This Row],[NbP2]])</f>
        <v>0.65536414182845681</v>
      </c>
    </row>
    <row r="50" spans="1:13" ht="20">
      <c r="A50" s="78" t="s">
        <v>1360</v>
      </c>
      <c r="B50" s="78" t="s">
        <v>297</v>
      </c>
      <c r="C50" s="78">
        <v>79</v>
      </c>
      <c r="D50" s="78">
        <f>Table82[[#This Row],[2019]]/C129</f>
        <v>4.0148396605173553E-3</v>
      </c>
      <c r="F50" s="16" t="s">
        <v>1360</v>
      </c>
      <c r="G50" s="17">
        <v>6172</v>
      </c>
      <c r="H50" s="80">
        <f>Table83[[#This Row],[TRUMP VOTES]]/C129</f>
        <v>0.31366570107231795</v>
      </c>
      <c r="I50" s="18">
        <v>0.74</v>
      </c>
      <c r="J50" s="17">
        <v>2031</v>
      </c>
      <c r="K50" s="80">
        <f>Table83[[#This Row],[BIDEN VOTES]]/C129</f>
        <v>0.10321695380393353</v>
      </c>
      <c r="L50" s="18">
        <v>0.24399999999999999</v>
      </c>
      <c r="M50" s="80">
        <f>1-(Table83[[#This Row],[NbP]]+Table83[[#This Row],[NbP2]])</f>
        <v>0.58311734512374858</v>
      </c>
    </row>
    <row r="51" spans="1:13" ht="20">
      <c r="A51" s="78" t="s">
        <v>1363</v>
      </c>
      <c r="B51" s="78" t="s">
        <v>297</v>
      </c>
      <c r="C51" s="78">
        <v>49</v>
      </c>
      <c r="D51" s="78">
        <f>Table82[[#This Row],[2019]]/C130</f>
        <v>3.5070140280561123E-3</v>
      </c>
      <c r="F51" s="16" t="s">
        <v>1363</v>
      </c>
      <c r="G51" s="17">
        <v>4612</v>
      </c>
      <c r="H51" s="80">
        <f>Table83[[#This Row],[TRUMP VOTES]]/C130</f>
        <v>0.33008874892642426</v>
      </c>
      <c r="I51" s="18">
        <v>0.78200000000000003</v>
      </c>
      <c r="J51" s="17">
        <v>1156</v>
      </c>
      <c r="K51" s="80">
        <f>Table83[[#This Row],[BIDEN VOTES]]/C130</f>
        <v>8.2736902376180935E-2</v>
      </c>
      <c r="L51" s="18">
        <v>0.19600000000000001</v>
      </c>
      <c r="M51" s="80">
        <f>1-(Table83[[#This Row],[NbP]]+Table83[[#This Row],[NbP2]])</f>
        <v>0.58717434869739482</v>
      </c>
    </row>
    <row r="52" spans="1:13" ht="20">
      <c r="A52" s="78" t="s">
        <v>2675</v>
      </c>
      <c r="B52" s="78" t="s">
        <v>297</v>
      </c>
      <c r="C52" s="78">
        <v>334</v>
      </c>
      <c r="D52" s="78">
        <f>Table82[[#This Row],[2019]]/C131</f>
        <v>4.8794027844735648E-3</v>
      </c>
      <c r="F52" s="16" t="s">
        <v>2675</v>
      </c>
      <c r="G52" s="17">
        <v>16526</v>
      </c>
      <c r="H52" s="80">
        <f>Table83[[#This Row],[TRUMP VOTES]]/C131</f>
        <v>0.24142817489883275</v>
      </c>
      <c r="I52" s="18">
        <v>0.65900000000000003</v>
      </c>
      <c r="J52" s="17">
        <v>8027</v>
      </c>
      <c r="K52" s="80">
        <f>Table83[[#This Row],[BIDEN VOTES]]/C131</f>
        <v>0.117266365721465</v>
      </c>
      <c r="L52" s="18">
        <v>0.32</v>
      </c>
      <c r="M52" s="80">
        <f>1-(Table83[[#This Row],[NbP]]+Table83[[#This Row],[NbP2]])</f>
        <v>0.64130545937970229</v>
      </c>
    </row>
    <row r="53" spans="1:13" ht="20">
      <c r="A53" s="78" t="s">
        <v>1469</v>
      </c>
      <c r="B53" s="78" t="s">
        <v>297</v>
      </c>
      <c r="C53" s="78">
        <v>69</v>
      </c>
      <c r="D53" s="78">
        <f>Table82[[#This Row],[2019]]/C132</f>
        <v>6.126254106365977E-3</v>
      </c>
      <c r="F53" s="16" t="s">
        <v>1469</v>
      </c>
      <c r="G53" s="17">
        <v>3821</v>
      </c>
      <c r="H53" s="80">
        <f>Table83[[#This Row],[TRUMP VOTES]]/C132</f>
        <v>0.33925241942644058</v>
      </c>
      <c r="I53" s="18">
        <v>0.77400000000000002</v>
      </c>
      <c r="J53" s="17">
        <v>1003</v>
      </c>
      <c r="K53" s="80">
        <f>Table83[[#This Row],[BIDEN VOTES]]/C132</f>
        <v>8.9052650270798187E-2</v>
      </c>
      <c r="L53" s="18">
        <v>0.20300000000000001</v>
      </c>
      <c r="M53" s="80">
        <f>1-(Table83[[#This Row],[NbP]]+Table83[[#This Row],[NbP2]])</f>
        <v>0.5716949303027612</v>
      </c>
    </row>
    <row r="54" spans="1:13" ht="20">
      <c r="A54" s="78" t="s">
        <v>2676</v>
      </c>
      <c r="B54" s="78" t="s">
        <v>297</v>
      </c>
      <c r="C54" s="78">
        <v>48</v>
      </c>
      <c r="D54" s="78">
        <f>Table82[[#This Row],[2019]]/C133</f>
        <v>4.6861271111978912E-3</v>
      </c>
      <c r="F54" s="16" t="s">
        <v>2676</v>
      </c>
      <c r="G54" s="17">
        <v>3610</v>
      </c>
      <c r="H54" s="80">
        <f>Table83[[#This Row],[TRUMP VOTES]]/C133</f>
        <v>0.35243580982134143</v>
      </c>
      <c r="I54" s="18">
        <v>0.82199999999999995</v>
      </c>
      <c r="J54" s="19">
        <v>712</v>
      </c>
      <c r="K54" s="80">
        <f>Table83[[#This Row],[BIDEN VOTES]]/C133</f>
        <v>6.9510885482768722E-2</v>
      </c>
      <c r="L54" s="18">
        <v>0.16200000000000001</v>
      </c>
      <c r="M54" s="80">
        <f>1-(Table83[[#This Row],[NbP]]+Table83[[#This Row],[NbP2]])</f>
        <v>0.57805330469588978</v>
      </c>
    </row>
    <row r="55" spans="1:13" ht="20">
      <c r="A55" s="78" t="s">
        <v>2677</v>
      </c>
      <c r="B55" s="78" t="s">
        <v>297</v>
      </c>
      <c r="C55" s="78">
        <v>48</v>
      </c>
      <c r="D55" s="78">
        <f>Table82[[#This Row],[2019]]/C134</f>
        <v>4.0043380328689416E-3</v>
      </c>
      <c r="F55" s="16" t="s">
        <v>2677</v>
      </c>
      <c r="G55" s="17">
        <v>3058</v>
      </c>
      <c r="H55" s="80">
        <f>Table83[[#This Row],[TRUMP VOTES]]/C134</f>
        <v>0.25510970217735879</v>
      </c>
      <c r="I55" s="18">
        <v>0.75700000000000001</v>
      </c>
      <c r="J55" s="19">
        <v>896</v>
      </c>
      <c r="K55" s="80">
        <f>Table83[[#This Row],[BIDEN VOTES]]/C134</f>
        <v>7.4747643280220238E-2</v>
      </c>
      <c r="L55" s="18">
        <v>0.222</v>
      </c>
      <c r="M55" s="80">
        <f>1-(Table83[[#This Row],[NbP]]+Table83[[#This Row],[NbP2]])</f>
        <v>0.67014265454242095</v>
      </c>
    </row>
    <row r="56" spans="1:13" ht="20">
      <c r="A56" s="78" t="s">
        <v>2678</v>
      </c>
      <c r="B56" s="78" t="s">
        <v>297</v>
      </c>
      <c r="C56" s="94">
        <v>2835</v>
      </c>
      <c r="D56" s="78">
        <f>Table82[[#This Row],[2019]]/C135</f>
        <v>3.5765288872516613E-3</v>
      </c>
      <c r="F56" s="16" t="s">
        <v>2678</v>
      </c>
      <c r="G56" s="17">
        <v>145050</v>
      </c>
      <c r="H56" s="80">
        <f>Table83[[#This Row],[TRUMP VOTES]]/C135</f>
        <v>0.18298959968107706</v>
      </c>
      <c r="I56" s="18">
        <v>0.49199999999999999</v>
      </c>
      <c r="J56" s="17">
        <v>141724</v>
      </c>
      <c r="K56" s="80">
        <f>Table83[[#This Row],[BIDEN VOTES]]/C135</f>
        <v>0.17879364374492221</v>
      </c>
      <c r="L56" s="18">
        <v>0.48099999999999998</v>
      </c>
      <c r="M56" s="80">
        <f>1-(Table83[[#This Row],[NbP]]+Table83[[#This Row],[NbP2]])</f>
        <v>0.63821675657400068</v>
      </c>
    </row>
    <row r="57" spans="1:13" ht="20">
      <c r="A57" s="78" t="s">
        <v>2679</v>
      </c>
      <c r="B57" s="78" t="s">
        <v>297</v>
      </c>
      <c r="C57" s="78">
        <v>294</v>
      </c>
      <c r="D57" s="78">
        <f>Table82[[#This Row],[2019]]/C136</f>
        <v>7.6258656913858842E-3</v>
      </c>
      <c r="F57" s="16" t="s">
        <v>2679</v>
      </c>
      <c r="G57" s="17">
        <v>9668</v>
      </c>
      <c r="H57" s="80">
        <f>Table83[[#This Row],[TRUMP VOTES]]/C136</f>
        <v>0.25077166498067593</v>
      </c>
      <c r="I57" s="18">
        <v>0.67500000000000004</v>
      </c>
      <c r="J57" s="17">
        <v>4357</v>
      </c>
      <c r="K57" s="80">
        <f>Table83[[#This Row],[BIDEN VOTES]]/C136</f>
        <v>0.11301325448084455</v>
      </c>
      <c r="L57" s="18">
        <v>0.30399999999999999</v>
      </c>
      <c r="M57" s="80">
        <f>1-(Table83[[#This Row],[NbP]]+Table83[[#This Row],[NbP2]])</f>
        <v>0.63621508053847953</v>
      </c>
    </row>
    <row r="58" spans="1:13" ht="20">
      <c r="A58" s="78" t="s">
        <v>2154</v>
      </c>
      <c r="B58" s="78" t="s">
        <v>297</v>
      </c>
      <c r="C58" s="78">
        <v>182</v>
      </c>
      <c r="D58" s="78">
        <f>Table82[[#This Row],[2019]]/C137</f>
        <v>3.8662531333644901E-3</v>
      </c>
      <c r="F58" s="16" t="s">
        <v>2154</v>
      </c>
      <c r="G58" s="17">
        <v>14121</v>
      </c>
      <c r="H58" s="80">
        <f>Table83[[#This Row],[TRUMP VOTES]]/C137</f>
        <v>0.29997450822109867</v>
      </c>
      <c r="I58" s="18">
        <v>0.68799999999999994</v>
      </c>
      <c r="J58" s="17">
        <v>6002</v>
      </c>
      <c r="K58" s="80">
        <f>Table83[[#This Row],[BIDEN VOTES]]/C137</f>
        <v>0.12750138080469048</v>
      </c>
      <c r="L58" s="18">
        <v>0.29199999999999998</v>
      </c>
      <c r="M58" s="80">
        <f>1-(Table83[[#This Row],[NbP]]+Table83[[#This Row],[NbP2]])</f>
        <v>0.57252411097421085</v>
      </c>
    </row>
    <row r="59" spans="1:13" ht="20">
      <c r="A59" s="78" t="s">
        <v>1867</v>
      </c>
      <c r="B59" s="78" t="s">
        <v>297</v>
      </c>
      <c r="C59" s="78">
        <v>84</v>
      </c>
      <c r="D59" s="78">
        <f>Table82[[#This Row],[2019]]/C138</f>
        <v>2.6851644663235625E-3</v>
      </c>
      <c r="F59" s="16" t="s">
        <v>1867</v>
      </c>
      <c r="G59" s="17">
        <v>8545</v>
      </c>
      <c r="H59" s="80">
        <f>Table83[[#This Row],[TRUMP VOTES]]/C138</f>
        <v>0.27315155196112906</v>
      </c>
      <c r="I59" s="18">
        <v>0.747</v>
      </c>
      <c r="J59" s="17">
        <v>2686</v>
      </c>
      <c r="K59" s="80">
        <f>Table83[[#This Row],[BIDEN VOTES]]/C138</f>
        <v>8.586133043506057E-2</v>
      </c>
      <c r="L59" s="18">
        <v>0.23499999999999999</v>
      </c>
      <c r="M59" s="80">
        <f>1-(Table83[[#This Row],[NbP]]+Table83[[#This Row],[NbP2]])</f>
        <v>0.64098711760381044</v>
      </c>
    </row>
    <row r="60" spans="1:13" ht="20">
      <c r="A60" s="78" t="s">
        <v>2261</v>
      </c>
      <c r="B60" s="78" t="s">
        <v>297</v>
      </c>
      <c r="C60" s="78">
        <v>96</v>
      </c>
      <c r="D60" s="78">
        <f>Table82[[#This Row],[2019]]/C139</f>
        <v>5.852944762833801E-3</v>
      </c>
      <c r="F60" s="16" t="s">
        <v>2261</v>
      </c>
      <c r="G60" s="17">
        <v>5267</v>
      </c>
      <c r="H60" s="80">
        <f>Table83[[#This Row],[TRUMP VOTES]]/C139</f>
        <v>0.32111937568589194</v>
      </c>
      <c r="I60" s="18">
        <v>0.77600000000000002</v>
      </c>
      <c r="J60" s="17">
        <v>1363</v>
      </c>
      <c r="K60" s="80">
        <f>Table83[[#This Row],[BIDEN VOTES]]/C139</f>
        <v>8.3099621997317394E-2</v>
      </c>
      <c r="L60" s="18">
        <v>0.20100000000000001</v>
      </c>
      <c r="M60" s="80">
        <f>1-(Table83[[#This Row],[NbP]]+Table83[[#This Row],[NbP2]])</f>
        <v>0.59578100231679065</v>
      </c>
    </row>
    <row r="61" spans="1:13" ht="20">
      <c r="A61" s="78" t="s">
        <v>2680</v>
      </c>
      <c r="B61" s="78" t="s">
        <v>297</v>
      </c>
      <c r="C61" s="78">
        <v>507</v>
      </c>
      <c r="D61" s="78">
        <f>Table82[[#This Row],[2019]]/C140</f>
        <v>6.1895692938763553E-3</v>
      </c>
      <c r="F61" s="16" t="s">
        <v>2680</v>
      </c>
      <c r="G61" s="17">
        <v>17813</v>
      </c>
      <c r="H61" s="80">
        <f>Table83[[#This Row],[TRUMP VOTES]]/C140</f>
        <v>0.21746508448090635</v>
      </c>
      <c r="I61" s="18">
        <v>0.60099999999999998</v>
      </c>
      <c r="J61" s="17">
        <v>10904</v>
      </c>
      <c r="K61" s="80">
        <f>Table83[[#This Row],[BIDEN VOTES]]/C140</f>
        <v>0.13311846860044926</v>
      </c>
      <c r="L61" s="18">
        <v>0.36799999999999999</v>
      </c>
      <c r="M61" s="80">
        <f>1-(Table83[[#This Row],[NbP]]+Table83[[#This Row],[NbP2]])</f>
        <v>0.64941644691864442</v>
      </c>
    </row>
    <row r="62" spans="1:13" ht="20">
      <c r="A62" s="78" t="s">
        <v>2681</v>
      </c>
      <c r="B62" s="78" t="s">
        <v>297</v>
      </c>
      <c r="C62" s="78">
        <v>211</v>
      </c>
      <c r="D62" s="78">
        <f>Table82[[#This Row],[2019]]/C141</f>
        <v>4.8003640086452058E-3</v>
      </c>
      <c r="F62" s="16" t="s">
        <v>2681</v>
      </c>
      <c r="G62" s="17">
        <v>13851</v>
      </c>
      <c r="H62" s="80">
        <f>Table83[[#This Row],[TRUMP VOTES]]/C141</f>
        <v>0.3151177340461836</v>
      </c>
      <c r="I62" s="18">
        <v>0.77300000000000002</v>
      </c>
      <c r="J62" s="17">
        <v>3768</v>
      </c>
      <c r="K62" s="80">
        <f>Table83[[#This Row],[BIDEN VOTES]]/C141</f>
        <v>8.5724035945853719E-2</v>
      </c>
      <c r="L62" s="18">
        <v>0.21</v>
      </c>
      <c r="M62" s="80">
        <f>1-(Table83[[#This Row],[NbP]]+Table83[[#This Row],[NbP2]])</f>
        <v>0.59915823000796276</v>
      </c>
    </row>
    <row r="63" spans="1:13" ht="20">
      <c r="A63" s="78" t="s">
        <v>2070</v>
      </c>
      <c r="B63" s="78" t="s">
        <v>297</v>
      </c>
      <c r="C63" s="78">
        <v>218</v>
      </c>
      <c r="D63" s="78">
        <f>Table82[[#This Row],[2019]]/C142</f>
        <v>5.6793018106031006E-3</v>
      </c>
      <c r="F63" s="16" t="s">
        <v>2070</v>
      </c>
      <c r="G63" s="17">
        <v>10805</v>
      </c>
      <c r="H63" s="80">
        <f>Table83[[#This Row],[TRUMP VOTES]]/C142</f>
        <v>0.28149016542920413</v>
      </c>
      <c r="I63" s="18">
        <v>0.70499999999999996</v>
      </c>
      <c r="J63" s="17">
        <v>4117</v>
      </c>
      <c r="K63" s="80">
        <f>Table83[[#This Row],[BIDEN VOTES]]/C142</f>
        <v>0.1072554383222613</v>
      </c>
      <c r="L63" s="18">
        <v>0.26900000000000002</v>
      </c>
      <c r="M63" s="80">
        <f>1-(Table83[[#This Row],[NbP]]+Table83[[#This Row],[NbP2]])</f>
        <v>0.61125439624853461</v>
      </c>
    </row>
    <row r="64" spans="1:13" ht="20">
      <c r="A64" s="78" t="s">
        <v>2682</v>
      </c>
      <c r="B64" s="78" t="s">
        <v>297</v>
      </c>
      <c r="C64" s="78">
        <v>305</v>
      </c>
      <c r="D64" s="78">
        <f>Table82[[#This Row],[2019]]/C143</f>
        <v>4.2062583608004304E-3</v>
      </c>
      <c r="F64" s="16" t="s">
        <v>2682</v>
      </c>
      <c r="G64" s="17">
        <v>20240</v>
      </c>
      <c r="H64" s="80">
        <f>Table83[[#This Row],[TRUMP VOTES]]/C143</f>
        <v>0.27913006302492038</v>
      </c>
      <c r="I64" s="18">
        <v>0.71799999999999997</v>
      </c>
      <c r="J64" s="17">
        <v>7275</v>
      </c>
      <c r="K64" s="80">
        <f>Table83[[#This Row],[BIDEN VOTES]]/C143</f>
        <v>0.10032960516335453</v>
      </c>
      <c r="L64" s="18">
        <v>0.25800000000000001</v>
      </c>
      <c r="M64" s="80">
        <f>1-(Table83[[#This Row],[NbP]]+Table83[[#This Row],[NbP2]])</f>
        <v>0.62054033181172508</v>
      </c>
    </row>
    <row r="65" spans="1:13" ht="20">
      <c r="A65" s="78" t="s">
        <v>2683</v>
      </c>
      <c r="B65" s="78" t="s">
        <v>297</v>
      </c>
      <c r="C65" s="78">
        <v>62</v>
      </c>
      <c r="D65" s="78">
        <f>Table82[[#This Row],[2019]]/C144</f>
        <v>5.6083220262324743E-3</v>
      </c>
      <c r="F65" s="16" t="s">
        <v>2683</v>
      </c>
      <c r="G65" s="17">
        <v>4016</v>
      </c>
      <c r="H65" s="80">
        <f>Table83[[#This Row],[TRUMP VOTES]]/C144</f>
        <v>0.36327453640886476</v>
      </c>
      <c r="I65" s="18">
        <v>0.84699999999999998</v>
      </c>
      <c r="J65" s="19">
        <v>668</v>
      </c>
      <c r="K65" s="80">
        <f>Table83[[#This Row],[BIDEN VOTES]]/C144</f>
        <v>6.042514699231117E-2</v>
      </c>
      <c r="L65" s="18">
        <v>0.14099999999999999</v>
      </c>
      <c r="M65" s="80">
        <f>1-(Table83[[#This Row],[NbP]]+Table83[[#This Row],[NbP2]])</f>
        <v>0.57630031659882408</v>
      </c>
    </row>
    <row r="66" spans="1:13" ht="20">
      <c r="A66" s="78" t="s">
        <v>2684</v>
      </c>
      <c r="B66" s="78" t="s">
        <v>297</v>
      </c>
      <c r="C66" s="78">
        <v>14</v>
      </c>
      <c r="D66" s="78">
        <f>Table82[[#This Row],[2019]]/C145</f>
        <v>3.8514442916093533E-3</v>
      </c>
      <c r="F66" s="16" t="s">
        <v>2684</v>
      </c>
      <c r="G66" s="17">
        <v>1629</v>
      </c>
      <c r="H66" s="80">
        <f>Table83[[#This Row],[TRUMP VOTES]]/C145</f>
        <v>0.44814305364511692</v>
      </c>
      <c r="I66" s="18">
        <v>0.88800000000000001</v>
      </c>
      <c r="J66" s="19">
        <v>168</v>
      </c>
      <c r="K66" s="80">
        <f>Table83[[#This Row],[BIDEN VOTES]]/C145</f>
        <v>4.6217331499312245E-2</v>
      </c>
      <c r="L66" s="18">
        <v>9.1999999999999998E-2</v>
      </c>
      <c r="M66" s="80">
        <f>1-(Table83[[#This Row],[NbP]]+Table83[[#This Row],[NbP2]])</f>
        <v>0.50563961485557085</v>
      </c>
    </row>
    <row r="67" spans="1:13" ht="20">
      <c r="A67" s="78" t="s">
        <v>2685</v>
      </c>
      <c r="B67" s="78" t="s">
        <v>297</v>
      </c>
      <c r="C67" s="78">
        <v>318</v>
      </c>
      <c r="D67" s="78">
        <f>Table82[[#This Row],[2019]]/C146</f>
        <v>3.4545691565636815E-3</v>
      </c>
      <c r="F67" s="16" t="s">
        <v>2685</v>
      </c>
      <c r="G67" s="17">
        <v>34031</v>
      </c>
      <c r="H67" s="80">
        <f>Table83[[#This Row],[TRUMP VOTES]]/C146</f>
        <v>0.36969321687741713</v>
      </c>
      <c r="I67" s="18">
        <v>0.76400000000000001</v>
      </c>
      <c r="J67" s="17">
        <v>9589</v>
      </c>
      <c r="K67" s="80">
        <f>Table83[[#This Row],[BIDEN VOTES]]/C146</f>
        <v>0.10416938252292182</v>
      </c>
      <c r="L67" s="18">
        <v>0.215</v>
      </c>
      <c r="M67" s="80">
        <f>1-(Table83[[#This Row],[NbP]]+Table83[[#This Row],[NbP2]])</f>
        <v>0.52613740059966108</v>
      </c>
    </row>
    <row r="68" spans="1:13" ht="20">
      <c r="A68" s="78" t="s">
        <v>1377</v>
      </c>
      <c r="B68" s="78" t="s">
        <v>297</v>
      </c>
      <c r="C68" s="78">
        <v>121</v>
      </c>
      <c r="D68" s="78">
        <f>Table82[[#This Row],[2019]]/C147</f>
        <v>4.9139051332033785E-3</v>
      </c>
      <c r="F68" s="16" t="s">
        <v>1377</v>
      </c>
      <c r="G68" s="17">
        <v>6011</v>
      </c>
      <c r="H68" s="80">
        <f>Table83[[#This Row],[TRUMP VOTES]]/C147</f>
        <v>0.2441114359974009</v>
      </c>
      <c r="I68" s="18">
        <v>0.72099999999999997</v>
      </c>
      <c r="J68" s="17">
        <v>2150</v>
      </c>
      <c r="K68" s="80">
        <f>Table83[[#This Row],[BIDEN VOTES]]/C147</f>
        <v>8.7313190383365824E-2</v>
      </c>
      <c r="L68" s="18">
        <v>0.25800000000000001</v>
      </c>
      <c r="M68" s="80">
        <f>1-(Table83[[#This Row],[NbP]]+Table83[[#This Row],[NbP2]])</f>
        <v>0.66857537361923325</v>
      </c>
    </row>
    <row r="69" spans="1:13" ht="20">
      <c r="A69" s="78" t="s">
        <v>2686</v>
      </c>
      <c r="B69" s="78" t="s">
        <v>297</v>
      </c>
      <c r="C69" s="78">
        <v>224</v>
      </c>
      <c r="D69" s="78">
        <f>Table82[[#This Row],[2019]]/C148</f>
        <v>5.3733777916376811E-3</v>
      </c>
      <c r="F69" s="16" t="s">
        <v>2686</v>
      </c>
      <c r="G69" s="17">
        <v>12113</v>
      </c>
      <c r="H69" s="80">
        <f>Table83[[#This Row],[TRUMP VOTES]]/C148</f>
        <v>0.29057020174155013</v>
      </c>
      <c r="I69" s="18">
        <v>0.78700000000000003</v>
      </c>
      <c r="J69" s="17">
        <v>3035</v>
      </c>
      <c r="K69" s="80">
        <f>Table83[[#This Row],[BIDEN VOTES]]/C148</f>
        <v>7.2804471417948047E-2</v>
      </c>
      <c r="L69" s="18">
        <v>0.19700000000000001</v>
      </c>
      <c r="M69" s="80">
        <f>1-(Table83[[#This Row],[NbP]]+Table83[[#This Row],[NbP2]])</f>
        <v>0.63662532684050177</v>
      </c>
    </row>
    <row r="70" spans="1:13" ht="20">
      <c r="A70" s="78" t="s">
        <v>520</v>
      </c>
      <c r="B70" s="78" t="s">
        <v>297</v>
      </c>
      <c r="C70" s="78">
        <v>115</v>
      </c>
      <c r="D70" s="78">
        <f>Table82[[#This Row],[2019]]/C149</f>
        <v>2.6497085320614732E-3</v>
      </c>
      <c r="F70" s="16" t="s">
        <v>520</v>
      </c>
      <c r="G70" s="17">
        <v>15560</v>
      </c>
      <c r="H70" s="80">
        <f>Table83[[#This Row],[TRUMP VOTES]]/C149</f>
        <v>0.35851708485979583</v>
      </c>
      <c r="I70" s="18">
        <v>0.81599999999999995</v>
      </c>
      <c r="J70" s="17">
        <v>3154</v>
      </c>
      <c r="K70" s="80">
        <f>Table83[[#This Row],[BIDEN VOTES]]/C149</f>
        <v>7.2671136609755535E-2</v>
      </c>
      <c r="L70" s="18">
        <v>0.16600000000000001</v>
      </c>
      <c r="M70" s="80">
        <f>1-(Table83[[#This Row],[NbP]]+Table83[[#This Row],[NbP2]])</f>
        <v>0.56881177853044862</v>
      </c>
    </row>
    <row r="71" spans="1:13" ht="20">
      <c r="A71" s="78" t="s">
        <v>2169</v>
      </c>
      <c r="B71" s="78" t="s">
        <v>297</v>
      </c>
      <c r="C71" s="78">
        <v>72</v>
      </c>
      <c r="D71" s="78">
        <f>Table82[[#This Row],[2019]]/C150</f>
        <v>3.4895555663257889E-3</v>
      </c>
      <c r="F71" s="16" t="s">
        <v>2169</v>
      </c>
      <c r="G71" s="17">
        <v>4505</v>
      </c>
      <c r="H71" s="80">
        <f>Table83[[#This Row],[TRUMP VOTES]]/C150</f>
        <v>0.21833955314302331</v>
      </c>
      <c r="I71" s="18">
        <v>0.81599999999999995</v>
      </c>
      <c r="J71" s="19">
        <v>894</v>
      </c>
      <c r="K71" s="80">
        <f>Table83[[#This Row],[BIDEN VOTES]]/C150</f>
        <v>4.3328648281878546E-2</v>
      </c>
      <c r="L71" s="18">
        <v>0.16200000000000001</v>
      </c>
      <c r="M71" s="80">
        <f>1-(Table83[[#This Row],[NbP]]+Table83[[#This Row],[NbP2]])</f>
        <v>0.73833179857509812</v>
      </c>
    </row>
    <row r="72" spans="1:13" ht="20">
      <c r="A72" s="78" t="s">
        <v>2687</v>
      </c>
      <c r="B72" s="78" t="s">
        <v>297</v>
      </c>
      <c r="C72" s="78">
        <v>21</v>
      </c>
      <c r="D72" s="78">
        <f>Table82[[#This Row],[2019]]/C151</f>
        <v>2.8583095140873828E-3</v>
      </c>
      <c r="F72" s="16" t="s">
        <v>2687</v>
      </c>
      <c r="G72" s="17">
        <v>2076</v>
      </c>
      <c r="H72" s="80">
        <f>Table83[[#This Row],[TRUMP VOTES]]/C151</f>
        <v>0.28256431196406695</v>
      </c>
      <c r="I72" s="18">
        <v>0.76700000000000002</v>
      </c>
      <c r="J72" s="19">
        <v>597</v>
      </c>
      <c r="K72" s="80">
        <f>Table83[[#This Row],[BIDEN VOTES]]/C151</f>
        <v>8.1257656186198443E-2</v>
      </c>
      <c r="L72" s="18">
        <v>0.22</v>
      </c>
      <c r="M72" s="80">
        <f>1-(Table83[[#This Row],[NbP]]+Table83[[#This Row],[NbP2]])</f>
        <v>0.63617803184973454</v>
      </c>
    </row>
    <row r="73" spans="1:13" ht="20">
      <c r="A73" s="78" t="s">
        <v>2688</v>
      </c>
      <c r="B73" s="78" t="s">
        <v>297</v>
      </c>
      <c r="C73" s="94">
        <v>2849</v>
      </c>
      <c r="D73" s="78">
        <f>Table82[[#This Row],[2019]]/C152</f>
        <v>4.3811155313544245E-3</v>
      </c>
      <c r="F73" s="16" t="s">
        <v>2688</v>
      </c>
      <c r="G73" s="17">
        <v>150574</v>
      </c>
      <c r="H73" s="80">
        <f>Table83[[#This Row],[TRUMP VOTES]]/C152</f>
        <v>0.23154864514501969</v>
      </c>
      <c r="I73" s="18">
        <v>0.56499999999999995</v>
      </c>
      <c r="J73" s="17">
        <v>108996</v>
      </c>
      <c r="K73" s="80">
        <f>Table83[[#This Row],[BIDEN VOTES]]/C152</f>
        <v>0.16761111563899855</v>
      </c>
      <c r="L73" s="18">
        <v>0.40899999999999997</v>
      </c>
      <c r="M73" s="80">
        <f>1-(Table83[[#This Row],[NbP]]+Table83[[#This Row],[NbP2]])</f>
        <v>0.60084023921598173</v>
      </c>
    </row>
    <row r="74" spans="1:13" ht="20">
      <c r="A74" s="78" t="s">
        <v>2689</v>
      </c>
      <c r="B74" s="78" t="s">
        <v>297</v>
      </c>
      <c r="C74" s="78">
        <v>151</v>
      </c>
      <c r="D74" s="78">
        <f>Table82[[#This Row],[2019]]/C153</f>
        <v>1.8812917372670189E-3</v>
      </c>
      <c r="F74" s="16" t="s">
        <v>2689</v>
      </c>
      <c r="G74" s="17">
        <v>26165</v>
      </c>
      <c r="H74" s="80">
        <f>Table83[[#This Row],[TRUMP VOTES]]/C153</f>
        <v>0.32598674374563941</v>
      </c>
      <c r="I74" s="18">
        <v>0.74</v>
      </c>
      <c r="J74" s="17">
        <v>8464</v>
      </c>
      <c r="K74" s="80">
        <f>Table83[[#This Row],[BIDEN VOTES]]/C153</f>
        <v>0.10545200837237118</v>
      </c>
      <c r="L74" s="18">
        <v>0.24</v>
      </c>
      <c r="M74" s="80">
        <f>1-(Table83[[#This Row],[NbP]]+Table83[[#This Row],[NbP2]])</f>
        <v>0.56856124788198947</v>
      </c>
    </row>
    <row r="75" spans="1:13" ht="20">
      <c r="A75" s="78" t="s">
        <v>258</v>
      </c>
      <c r="B75" s="78" t="s">
        <v>297</v>
      </c>
      <c r="C75" s="78">
        <v>221</v>
      </c>
      <c r="D75" s="78">
        <f>Table82[[#This Row],[2019]]/C154</f>
        <v>4.2504086931435718E-3</v>
      </c>
      <c r="F75" s="16" t="s">
        <v>258</v>
      </c>
      <c r="G75" s="17">
        <v>17076</v>
      </c>
      <c r="H75" s="80">
        <f>Table83[[#This Row],[TRUMP VOTES]]/C154</f>
        <v>0.3284161938647947</v>
      </c>
      <c r="I75" s="18">
        <v>0.72699999999999998</v>
      </c>
      <c r="J75" s="17">
        <v>5790</v>
      </c>
      <c r="K75" s="80">
        <f>Table83[[#This Row],[BIDEN VOTES]]/C154</f>
        <v>0.11135686123665738</v>
      </c>
      <c r="L75" s="18">
        <v>0.246</v>
      </c>
      <c r="M75" s="80">
        <f>1-(Table83[[#This Row],[NbP]]+Table83[[#This Row],[NbP2]])</f>
        <v>0.56022694489854796</v>
      </c>
    </row>
    <row r="76" spans="1:13" ht="20">
      <c r="A76" s="78" t="s">
        <v>2690</v>
      </c>
      <c r="B76" s="78" t="s">
        <v>297</v>
      </c>
      <c r="C76" s="78">
        <v>22</v>
      </c>
      <c r="D76" s="78">
        <f>Table82[[#This Row],[2019]]/C155</f>
        <v>1.9880715705765406E-3</v>
      </c>
      <c r="F76" s="16" t="s">
        <v>2690</v>
      </c>
      <c r="G76" s="17">
        <v>4086</v>
      </c>
      <c r="H76" s="80">
        <f>Table83[[#This Row],[TRUMP VOTES]]/C155</f>
        <v>0.36923911078980659</v>
      </c>
      <c r="I76" s="18">
        <v>0.85499999999999998</v>
      </c>
      <c r="J76" s="19">
        <v>598</v>
      </c>
      <c r="K76" s="80">
        <f>Table83[[#This Row],[BIDEN VOTES]]/C155</f>
        <v>5.4039399963853242E-2</v>
      </c>
      <c r="L76" s="18">
        <v>0.125</v>
      </c>
      <c r="M76" s="80">
        <f>1-(Table83[[#This Row],[NbP]]+Table83[[#This Row],[NbP2]])</f>
        <v>0.57672148924634015</v>
      </c>
    </row>
    <row r="77" spans="1:13" ht="20">
      <c r="A77" s="78" t="s">
        <v>2691</v>
      </c>
      <c r="B77" s="78" t="s">
        <v>297</v>
      </c>
      <c r="C77" s="78">
        <v>85</v>
      </c>
      <c r="D77" s="78">
        <f>Table82[[#This Row],[2019]]/C156</f>
        <v>9.5355620372447828E-3</v>
      </c>
      <c r="F77" s="16" t="s">
        <v>2691</v>
      </c>
      <c r="G77" s="17">
        <v>2993</v>
      </c>
      <c r="H77" s="80">
        <f>Table83[[#This Row],[TRUMP VOTES]]/C156</f>
        <v>0.33576396679380749</v>
      </c>
      <c r="I77" s="18">
        <v>0.81399999999999995</v>
      </c>
      <c r="J77" s="19">
        <v>591</v>
      </c>
      <c r="K77" s="80">
        <f>Table83[[#This Row],[BIDEN VOTES]]/C156</f>
        <v>6.6300201929549024E-2</v>
      </c>
      <c r="L77" s="18">
        <v>0.161</v>
      </c>
      <c r="M77" s="80">
        <f>1-(Table83[[#This Row],[NbP]]+Table83[[#This Row],[NbP2]])</f>
        <v>0.59793583127664351</v>
      </c>
    </row>
    <row r="78" spans="1:13" ht="20">
      <c r="A78" s="78" t="s">
        <v>2692</v>
      </c>
      <c r="B78" s="78" t="s">
        <v>297</v>
      </c>
      <c r="C78" s="78">
        <v>139</v>
      </c>
      <c r="D78" s="78">
        <f>Table82[[#This Row],[2019]]/C157</f>
        <v>6.8297955974842769E-3</v>
      </c>
      <c r="F78" s="16" t="s">
        <v>2692</v>
      </c>
      <c r="G78" s="17">
        <v>6611</v>
      </c>
      <c r="H78" s="80">
        <f>Table83[[#This Row],[TRUMP VOTES]]/C157</f>
        <v>0.32483294025157233</v>
      </c>
      <c r="I78" s="18">
        <v>0.84899999999999998</v>
      </c>
      <c r="J78" s="17">
        <v>1005</v>
      </c>
      <c r="K78" s="80">
        <f>Table83[[#This Row],[BIDEN VOTES]]/C157</f>
        <v>4.9380896226415096E-2</v>
      </c>
      <c r="L78" s="18">
        <v>0.129</v>
      </c>
      <c r="M78" s="80">
        <f>1-(Table83[[#This Row],[NbP]]+Table83[[#This Row],[NbP2]])</f>
        <v>0.62578616352201255</v>
      </c>
    </row>
    <row r="80" spans="1:13" ht="21">
      <c r="A80" s="77" t="s">
        <v>1670</v>
      </c>
      <c r="B80" s="77" t="s">
        <v>69</v>
      </c>
      <c r="C80" s="77" t="s">
        <v>54</v>
      </c>
    </row>
    <row r="81" spans="1:3" ht="21">
      <c r="A81" s="52">
        <v>38</v>
      </c>
      <c r="B81" s="53" t="s">
        <v>1531</v>
      </c>
      <c r="C81" s="54">
        <v>22171</v>
      </c>
    </row>
    <row r="82" spans="1:3" ht="21">
      <c r="A82" s="52">
        <v>66</v>
      </c>
      <c r="B82" s="53" t="s">
        <v>2649</v>
      </c>
      <c r="C82" s="54">
        <v>5791</v>
      </c>
    </row>
    <row r="83" spans="1:3" ht="21">
      <c r="A83" s="52">
        <v>49</v>
      </c>
      <c r="B83" s="53" t="s">
        <v>2650</v>
      </c>
      <c r="C83" s="54">
        <v>13815</v>
      </c>
    </row>
    <row r="84" spans="1:3" ht="21">
      <c r="A84" s="52">
        <v>70</v>
      </c>
      <c r="B84" s="53" t="s">
        <v>2651</v>
      </c>
      <c r="C84" s="54">
        <v>5326</v>
      </c>
    </row>
    <row r="85" spans="1:3" ht="21">
      <c r="A85" s="52">
        <v>39</v>
      </c>
      <c r="B85" s="53" t="s">
        <v>2652</v>
      </c>
      <c r="C85" s="54">
        <v>21860</v>
      </c>
    </row>
    <row r="86" spans="1:3" ht="21">
      <c r="A86" s="52">
        <v>60</v>
      </c>
      <c r="B86" s="53" t="s">
        <v>2227</v>
      </c>
      <c r="C86" s="54">
        <v>9521</v>
      </c>
    </row>
    <row r="87" spans="1:3" ht="21">
      <c r="A87" s="52">
        <v>19</v>
      </c>
      <c r="B87" s="53" t="s">
        <v>1315</v>
      </c>
      <c r="C87" s="54">
        <v>47325</v>
      </c>
    </row>
    <row r="88" spans="1:3" ht="21">
      <c r="A88" s="52">
        <v>33</v>
      </c>
      <c r="B88" s="53" t="s">
        <v>2653</v>
      </c>
      <c r="C88" s="54">
        <v>29179</v>
      </c>
    </row>
    <row r="89" spans="1:3" ht="21">
      <c r="A89" s="52">
        <v>4</v>
      </c>
      <c r="B89" s="53" t="s">
        <v>2654</v>
      </c>
      <c r="C89" s="54">
        <v>144610</v>
      </c>
    </row>
    <row r="90" spans="1:3" ht="21">
      <c r="A90" s="52">
        <v>17</v>
      </c>
      <c r="B90" s="53" t="s">
        <v>179</v>
      </c>
      <c r="C90" s="54">
        <v>48380</v>
      </c>
    </row>
    <row r="91" spans="1:3" ht="21">
      <c r="A91" s="52">
        <v>16</v>
      </c>
      <c r="B91" s="53" t="s">
        <v>366</v>
      </c>
      <c r="C91" s="54">
        <v>48871</v>
      </c>
    </row>
    <row r="92" spans="1:3" ht="21">
      <c r="A92" s="52">
        <v>46</v>
      </c>
      <c r="B92" s="53" t="s">
        <v>928</v>
      </c>
      <c r="C92" s="54">
        <v>14727</v>
      </c>
    </row>
    <row r="93" spans="1:3" ht="21">
      <c r="A93" s="52">
        <v>77</v>
      </c>
      <c r="B93" s="53" t="s">
        <v>2655</v>
      </c>
      <c r="C93" s="54">
        <v>2159</v>
      </c>
    </row>
    <row r="94" spans="1:3" ht="21">
      <c r="A94" s="52">
        <v>3</v>
      </c>
      <c r="B94" s="53" t="s">
        <v>2468</v>
      </c>
      <c r="C94" s="54">
        <v>282189</v>
      </c>
    </row>
    <row r="95" spans="1:3" ht="21">
      <c r="A95" s="52">
        <v>69</v>
      </c>
      <c r="B95" s="53" t="s">
        <v>2656</v>
      </c>
      <c r="C95" s="54">
        <v>5577</v>
      </c>
    </row>
    <row r="96" spans="1:3" ht="21">
      <c r="A96" s="52">
        <v>5</v>
      </c>
      <c r="B96" s="53" t="s">
        <v>375</v>
      </c>
      <c r="C96" s="54">
        <v>121374</v>
      </c>
    </row>
    <row r="97" spans="1:3" ht="21">
      <c r="A97" s="52">
        <v>68</v>
      </c>
      <c r="B97" s="53" t="s">
        <v>2657</v>
      </c>
      <c r="C97" s="54">
        <v>5783</v>
      </c>
    </row>
    <row r="98" spans="1:3" ht="21">
      <c r="A98" s="52">
        <v>47</v>
      </c>
      <c r="B98" s="53" t="s">
        <v>2658</v>
      </c>
      <c r="C98" s="54">
        <v>14274</v>
      </c>
    </row>
    <row r="99" spans="1:3" ht="21">
      <c r="A99" s="52">
        <v>10</v>
      </c>
      <c r="B99" s="53" t="s">
        <v>2659</v>
      </c>
      <c r="C99" s="54">
        <v>71505</v>
      </c>
    </row>
    <row r="100" spans="1:3" ht="21">
      <c r="A100" s="52">
        <v>34</v>
      </c>
      <c r="B100" s="53" t="s">
        <v>1157</v>
      </c>
      <c r="C100" s="54">
        <v>28929</v>
      </c>
    </row>
    <row r="101" spans="1:3" ht="21">
      <c r="A101" s="52">
        <v>24</v>
      </c>
      <c r="B101" s="53" t="s">
        <v>1457</v>
      </c>
      <c r="C101" s="54">
        <v>42741</v>
      </c>
    </row>
    <row r="102" spans="1:3" ht="21">
      <c r="A102" s="52">
        <v>71</v>
      </c>
      <c r="B102" s="53" t="s">
        <v>2660</v>
      </c>
      <c r="C102" s="54">
        <v>4885</v>
      </c>
    </row>
    <row r="103" spans="1:3" ht="21">
      <c r="A103" s="52">
        <v>73</v>
      </c>
      <c r="B103" s="53" t="s">
        <v>397</v>
      </c>
      <c r="C103" s="54">
        <v>3936</v>
      </c>
    </row>
    <row r="104" spans="1:3" ht="21">
      <c r="A104" s="52">
        <v>12</v>
      </c>
      <c r="B104" s="53" t="s">
        <v>1163</v>
      </c>
      <c r="C104" s="54">
        <v>61555</v>
      </c>
    </row>
    <row r="105" spans="1:3" ht="21">
      <c r="A105" s="52">
        <v>35</v>
      </c>
      <c r="B105" s="53" t="s">
        <v>2661</v>
      </c>
      <c r="C105" s="54">
        <v>27789</v>
      </c>
    </row>
    <row r="106" spans="1:3" ht="21">
      <c r="A106" s="52">
        <v>13</v>
      </c>
      <c r="B106" s="53" t="s">
        <v>1347</v>
      </c>
      <c r="C106" s="54">
        <v>55315</v>
      </c>
    </row>
    <row r="107" spans="1:3" ht="21">
      <c r="A107" s="52">
        <v>72</v>
      </c>
      <c r="B107" s="53" t="s">
        <v>278</v>
      </c>
      <c r="C107" s="54">
        <v>4369</v>
      </c>
    </row>
    <row r="108" spans="1:3" ht="21">
      <c r="A108" s="52">
        <v>67</v>
      </c>
      <c r="B108" s="53" t="s">
        <v>2662</v>
      </c>
      <c r="C108" s="54">
        <v>5790</v>
      </c>
    </row>
    <row r="109" spans="1:3" ht="21">
      <c r="A109" s="52">
        <v>76</v>
      </c>
      <c r="B109" s="53" t="s">
        <v>2663</v>
      </c>
      <c r="C109" s="54">
        <v>2663</v>
      </c>
    </row>
    <row r="110" spans="1:3" ht="21">
      <c r="A110" s="52">
        <v>74</v>
      </c>
      <c r="B110" s="53" t="s">
        <v>2664</v>
      </c>
      <c r="C110" s="54">
        <v>3730</v>
      </c>
    </row>
    <row r="111" spans="1:3" ht="21">
      <c r="A111" s="52">
        <v>51</v>
      </c>
      <c r="B111" s="53" t="s">
        <v>426</v>
      </c>
      <c r="C111" s="54">
        <v>12688</v>
      </c>
    </row>
    <row r="112" spans="1:3" ht="21">
      <c r="A112" s="52">
        <v>50</v>
      </c>
      <c r="B112" s="53" t="s">
        <v>2665</v>
      </c>
      <c r="C112" s="54">
        <v>13265</v>
      </c>
    </row>
    <row r="113" spans="1:3" ht="21">
      <c r="A113" s="52">
        <v>36</v>
      </c>
      <c r="B113" s="53" t="s">
        <v>213</v>
      </c>
      <c r="C113" s="54">
        <v>24808</v>
      </c>
    </row>
    <row r="114" spans="1:3" ht="21">
      <c r="A114" s="52">
        <v>65</v>
      </c>
      <c r="B114" s="53" t="s">
        <v>214</v>
      </c>
      <c r="C114" s="54">
        <v>6084</v>
      </c>
    </row>
    <row r="115" spans="1:3" ht="21">
      <c r="A115" s="52">
        <v>56</v>
      </c>
      <c r="B115" s="53" t="s">
        <v>2487</v>
      </c>
      <c r="C115" s="54">
        <v>11028</v>
      </c>
    </row>
    <row r="116" spans="1:3" ht="21">
      <c r="A116" s="52">
        <v>21</v>
      </c>
      <c r="B116" s="53" t="s">
        <v>2666</v>
      </c>
      <c r="C116" s="54">
        <v>44074</v>
      </c>
    </row>
    <row r="117" spans="1:3" ht="21">
      <c r="A117" s="52">
        <v>45</v>
      </c>
      <c r="B117" s="53" t="s">
        <v>2667</v>
      </c>
      <c r="C117" s="54">
        <v>15811</v>
      </c>
    </row>
    <row r="118" spans="1:3" ht="21">
      <c r="A118" s="52">
        <v>62</v>
      </c>
      <c r="B118" s="53" t="s">
        <v>1169</v>
      </c>
      <c r="C118" s="54">
        <v>8816</v>
      </c>
    </row>
    <row r="119" spans="1:3" ht="21">
      <c r="A119" s="52">
        <v>58</v>
      </c>
      <c r="B119" s="53" t="s">
        <v>2668</v>
      </c>
      <c r="C119" s="54">
        <v>10239</v>
      </c>
    </row>
    <row r="120" spans="1:3" ht="21">
      <c r="A120" s="52">
        <v>15</v>
      </c>
      <c r="B120" s="53" t="s">
        <v>2669</v>
      </c>
      <c r="C120" s="54">
        <v>49999</v>
      </c>
    </row>
    <row r="121" spans="1:3" ht="21">
      <c r="A121" s="52">
        <v>30</v>
      </c>
      <c r="B121" s="53" t="s">
        <v>221</v>
      </c>
      <c r="C121" s="54">
        <v>34936</v>
      </c>
    </row>
    <row r="122" spans="1:3" ht="21">
      <c r="A122" s="52">
        <v>18</v>
      </c>
      <c r="B122" s="53" t="s">
        <v>837</v>
      </c>
      <c r="C122" s="54">
        <v>47401</v>
      </c>
    </row>
    <row r="123" spans="1:3" ht="21">
      <c r="A123" s="52">
        <v>59</v>
      </c>
      <c r="B123" s="53" t="s">
        <v>2670</v>
      </c>
      <c r="C123" s="54">
        <v>10128</v>
      </c>
    </row>
    <row r="124" spans="1:3" ht="21">
      <c r="A124" s="52">
        <v>63</v>
      </c>
      <c r="B124" s="53" t="s">
        <v>2671</v>
      </c>
      <c r="C124" s="54">
        <v>7654</v>
      </c>
    </row>
    <row r="125" spans="1:3" ht="21">
      <c r="A125" s="52">
        <v>43</v>
      </c>
      <c r="B125" s="53" t="s">
        <v>228</v>
      </c>
      <c r="C125" s="54">
        <v>16688</v>
      </c>
    </row>
    <row r="126" spans="1:3" ht="21">
      <c r="A126" s="52">
        <v>26</v>
      </c>
      <c r="B126" s="53" t="s">
        <v>2672</v>
      </c>
      <c r="C126" s="54">
        <v>41098</v>
      </c>
    </row>
    <row r="127" spans="1:3" ht="21">
      <c r="A127" s="52">
        <v>27</v>
      </c>
      <c r="B127" s="53" t="s">
        <v>2673</v>
      </c>
      <c r="C127" s="54">
        <v>39921</v>
      </c>
    </row>
    <row r="128" spans="1:3" ht="21">
      <c r="A128" s="52">
        <v>31</v>
      </c>
      <c r="B128" s="53" t="s">
        <v>2674</v>
      </c>
      <c r="C128" s="54">
        <v>32913</v>
      </c>
    </row>
    <row r="129" spans="1:3" ht="21">
      <c r="A129" s="52">
        <v>42</v>
      </c>
      <c r="B129" s="53" t="s">
        <v>1360</v>
      </c>
      <c r="C129" s="54">
        <v>19677</v>
      </c>
    </row>
    <row r="130" spans="1:3" ht="21">
      <c r="A130" s="52">
        <v>48</v>
      </c>
      <c r="B130" s="53" t="s">
        <v>1363</v>
      </c>
      <c r="C130" s="54">
        <v>13972</v>
      </c>
    </row>
    <row r="131" spans="1:3" ht="21">
      <c r="A131" s="52">
        <v>11</v>
      </c>
      <c r="B131" s="53" t="s">
        <v>2675</v>
      </c>
      <c r="C131" s="54">
        <v>68451</v>
      </c>
    </row>
    <row r="132" spans="1:3" ht="21">
      <c r="A132" s="52">
        <v>53</v>
      </c>
      <c r="B132" s="53" t="s">
        <v>1469</v>
      </c>
      <c r="C132" s="54">
        <v>11263</v>
      </c>
    </row>
    <row r="133" spans="1:3" ht="21">
      <c r="A133" s="52">
        <v>57</v>
      </c>
      <c r="B133" s="53" t="s">
        <v>2676</v>
      </c>
      <c r="C133" s="54">
        <v>10243</v>
      </c>
    </row>
    <row r="134" spans="1:3" ht="21">
      <c r="A134" s="52">
        <v>52</v>
      </c>
      <c r="B134" s="53" t="s">
        <v>2677</v>
      </c>
      <c r="C134" s="54">
        <v>11987</v>
      </c>
    </row>
    <row r="135" spans="1:3" ht="21">
      <c r="A135" s="52">
        <v>1</v>
      </c>
      <c r="B135" s="53" t="s">
        <v>2678</v>
      </c>
      <c r="C135" s="54">
        <v>792668</v>
      </c>
    </row>
    <row r="136" spans="1:3" ht="21">
      <c r="A136" s="52">
        <v>28</v>
      </c>
      <c r="B136" s="53" t="s">
        <v>2679</v>
      </c>
      <c r="C136" s="54">
        <v>38553</v>
      </c>
    </row>
    <row r="137" spans="1:3" ht="21">
      <c r="A137" s="52">
        <v>20</v>
      </c>
      <c r="B137" s="53" t="s">
        <v>2154</v>
      </c>
      <c r="C137" s="54">
        <v>47074</v>
      </c>
    </row>
    <row r="138" spans="1:3" ht="21">
      <c r="A138" s="52">
        <v>32</v>
      </c>
      <c r="B138" s="53" t="s">
        <v>1867</v>
      </c>
      <c r="C138" s="54">
        <v>31283</v>
      </c>
    </row>
    <row r="139" spans="1:3" ht="21">
      <c r="A139" s="52">
        <v>44</v>
      </c>
      <c r="B139" s="53" t="s">
        <v>2261</v>
      </c>
      <c r="C139" s="54">
        <v>16402</v>
      </c>
    </row>
    <row r="140" spans="1:3" ht="21">
      <c r="A140" s="52">
        <v>7</v>
      </c>
      <c r="B140" s="53" t="s">
        <v>2680</v>
      </c>
      <c r="C140" s="54">
        <v>81912</v>
      </c>
    </row>
    <row r="141" spans="1:3" ht="21">
      <c r="A141" s="52">
        <v>22</v>
      </c>
      <c r="B141" s="53" t="s">
        <v>2681</v>
      </c>
      <c r="C141" s="54">
        <v>43955</v>
      </c>
    </row>
    <row r="142" spans="1:3" ht="21">
      <c r="A142" s="52">
        <v>29</v>
      </c>
      <c r="B142" s="53" t="s">
        <v>2070</v>
      </c>
      <c r="C142" s="54">
        <v>38385</v>
      </c>
    </row>
    <row r="143" spans="1:3" ht="21">
      <c r="A143" s="52">
        <v>9</v>
      </c>
      <c r="B143" s="53" t="s">
        <v>2682</v>
      </c>
      <c r="C143" s="54">
        <v>72511</v>
      </c>
    </row>
    <row r="144" spans="1:3" ht="21">
      <c r="A144" s="52">
        <v>55</v>
      </c>
      <c r="B144" s="53" t="s">
        <v>2683</v>
      </c>
      <c r="C144" s="54">
        <v>11055</v>
      </c>
    </row>
    <row r="145" spans="1:3" ht="21">
      <c r="A145" s="52">
        <v>75</v>
      </c>
      <c r="B145" s="53" t="s">
        <v>2684</v>
      </c>
      <c r="C145" s="54">
        <v>3635</v>
      </c>
    </row>
    <row r="146" spans="1:3" ht="21">
      <c r="A146" s="52">
        <v>6</v>
      </c>
      <c r="B146" s="53" t="s">
        <v>2685</v>
      </c>
      <c r="C146" s="54">
        <v>92052</v>
      </c>
    </row>
    <row r="147" spans="1:3" ht="21">
      <c r="A147" s="52">
        <v>37</v>
      </c>
      <c r="B147" s="53" t="s">
        <v>1377</v>
      </c>
      <c r="C147" s="54">
        <v>24624</v>
      </c>
    </row>
    <row r="148" spans="1:3" ht="21">
      <c r="A148" s="52">
        <v>25</v>
      </c>
      <c r="B148" s="53" t="s">
        <v>2686</v>
      </c>
      <c r="C148" s="54">
        <v>41687</v>
      </c>
    </row>
    <row r="149" spans="1:3" ht="21">
      <c r="A149" s="52">
        <v>23</v>
      </c>
      <c r="B149" s="53" t="s">
        <v>520</v>
      </c>
      <c r="C149" s="54">
        <v>43401</v>
      </c>
    </row>
    <row r="150" spans="1:3" ht="21">
      <c r="A150" s="52">
        <v>40</v>
      </c>
      <c r="B150" s="53" t="s">
        <v>2169</v>
      </c>
      <c r="C150" s="54">
        <v>20633</v>
      </c>
    </row>
    <row r="151" spans="1:3" ht="21">
      <c r="A151" s="52">
        <v>64</v>
      </c>
      <c r="B151" s="53" t="s">
        <v>2687</v>
      </c>
      <c r="C151" s="54">
        <v>7347</v>
      </c>
    </row>
    <row r="152" spans="1:3" ht="21">
      <c r="A152" s="52">
        <v>2</v>
      </c>
      <c r="B152" s="53" t="s">
        <v>2688</v>
      </c>
      <c r="C152" s="54">
        <v>650291</v>
      </c>
    </row>
    <row r="153" spans="1:3" ht="21">
      <c r="A153" s="52">
        <v>8</v>
      </c>
      <c r="B153" s="53" t="s">
        <v>2689</v>
      </c>
      <c r="C153" s="54">
        <v>80264</v>
      </c>
    </row>
    <row r="154" spans="1:3" ht="21">
      <c r="A154" s="52">
        <v>14</v>
      </c>
      <c r="B154" s="53" t="s">
        <v>258</v>
      </c>
      <c r="C154" s="54">
        <v>51995</v>
      </c>
    </row>
    <row r="155" spans="1:3" ht="21">
      <c r="A155" s="52">
        <v>54</v>
      </c>
      <c r="B155" s="53" t="s">
        <v>2690</v>
      </c>
      <c r="C155" s="54">
        <v>11066</v>
      </c>
    </row>
    <row r="156" spans="1:3" ht="21">
      <c r="A156" s="52">
        <v>61</v>
      </c>
      <c r="B156" s="53" t="s">
        <v>2691</v>
      </c>
      <c r="C156" s="54">
        <v>8914</v>
      </c>
    </row>
    <row r="157" spans="1:3" ht="21">
      <c r="A157" s="52">
        <v>41</v>
      </c>
      <c r="B157" s="53" t="s">
        <v>2692</v>
      </c>
      <c r="C157" s="54">
        <v>20352</v>
      </c>
    </row>
  </sheetData>
  <hyperlinks>
    <hyperlink ref="B135" r:id="rId1" display="https://www.oklahoma-demographics.com/oklahoma-county-demographics" xr:uid="{423C4E68-B42E-4846-8ADF-2676976EA562}"/>
    <hyperlink ref="B152" r:id="rId2" display="https://www.oklahoma-demographics.com/tulsa-county-demographics" xr:uid="{71B872E6-A4CF-AC45-B64E-EE33BDEDABE8}"/>
    <hyperlink ref="B94" r:id="rId3" display="https://www.oklahoma-demographics.com/cleveland-county-demographics" xr:uid="{E4A5C103-130D-C949-8B11-E44657A1E0DE}"/>
    <hyperlink ref="B89" r:id="rId4" display="https://www.oklahoma-demographics.com/canadian-county-demographics" xr:uid="{6556A482-5095-624F-B365-6DF87F9976D1}"/>
    <hyperlink ref="B96" r:id="rId5" display="https://www.oklahoma-demographics.com/comanche-county-demographics" xr:uid="{2A7CEEAB-BDF8-034E-8D6F-99020855821C}"/>
    <hyperlink ref="B146" r:id="rId6" display="https://www.oklahoma-demographics.com/rogers-county-demographics" xr:uid="{68F58764-278A-0243-B051-B241880299BA}"/>
    <hyperlink ref="B140" r:id="rId7" display="https://www.oklahoma-demographics.com/payne-county-demographics" xr:uid="{6D1E79CD-A4C3-E248-9828-4E6E413AF9C8}"/>
    <hyperlink ref="B153" r:id="rId8" display="https://www.oklahoma-demographics.com/wagoner-county-demographics" xr:uid="{5D8E9A67-DD36-BF4F-99C2-45F2C4B8751C}"/>
    <hyperlink ref="B143" r:id="rId9" display="https://www.oklahoma-demographics.com/pottawatomie-county-demographics" xr:uid="{57FF0E34-56FA-784F-A76D-E452123297D6}"/>
    <hyperlink ref="B99" r:id="rId10" display="https://www.oklahoma-demographics.com/creek-county-demographics" xr:uid="{418C94CD-C7DB-2A4D-8776-3666BFA371B3}"/>
    <hyperlink ref="B131" r:id="rId11" display="https://www.oklahoma-demographics.com/muskogee-county-demographics" xr:uid="{4FA31B9C-7A93-E447-A2BC-4F237020AC29}"/>
    <hyperlink ref="B104" r:id="rId12" display="https://www.oklahoma-demographics.com/garfield-county-demographics" xr:uid="{BE56F35F-7005-DA4A-8197-6E51400A5F5E}"/>
    <hyperlink ref="B106" r:id="rId13" display="https://www.oklahoma-demographics.com/grady-county-demographics" xr:uid="{B3B8E871-2BDB-5041-A7FC-34D300D3890D}"/>
    <hyperlink ref="B154" r:id="rId14" display="https://www.oklahoma-demographics.com/washington-county-demographics" xr:uid="{21DF4676-E0EE-8B40-9A87-80F240813BB2}"/>
    <hyperlink ref="B120" r:id="rId15" display="https://www.oklahoma-demographics.com/le-flore-county-demographics" xr:uid="{479EF7BA-D12E-5A4F-A153-A39CEBC49E69}"/>
    <hyperlink ref="B91" r:id="rId16" display="https://www.oklahoma-demographics.com/cherokee-county-demographics" xr:uid="{ABA96EF6-793E-3049-9CE1-DD3E71ADD19F}"/>
    <hyperlink ref="B90" r:id="rId17" display="https://www.oklahoma-demographics.com/carter-county-demographics" xr:uid="{74205748-AA73-5940-AEDC-31A60E7B6611}"/>
    <hyperlink ref="B122" r:id="rId18" display="https://www.oklahoma-demographics.com/logan-county-demographics" xr:uid="{30876528-94F9-F34B-B17C-56AB47E2AF68}"/>
    <hyperlink ref="B87" r:id="rId19" display="https://www.oklahoma-demographics.com/bryan-county-demographics" xr:uid="{16B09354-F3A6-D644-9DD2-8BDD5D0021A2}"/>
    <hyperlink ref="B137" r:id="rId20" display="https://www.oklahoma-demographics.com/osage-county-demographics" xr:uid="{310233A8-5CB4-C349-8800-1CEEEFDA5FAE}"/>
    <hyperlink ref="B116" r:id="rId21" display="https://www.oklahoma-demographics.com/kay-county-demographics" xr:uid="{37333325-F2A6-6A42-B952-194DC12C76B9}"/>
    <hyperlink ref="B141" r:id="rId22" display="https://www.oklahoma-demographics.com/pittsburg-county-demographics" xr:uid="{71CF2071-B99D-C346-B415-A8BCF5D8A851}"/>
    <hyperlink ref="B149" r:id="rId23" display="https://www.oklahoma-demographics.com/stephens-county-demographics" xr:uid="{652CCC57-E540-5A40-BCD3-F17AD382983A}"/>
    <hyperlink ref="B101" r:id="rId24" display="https://www.oklahoma-demographics.com/delaware-county-demographics" xr:uid="{53E6ACF8-0B75-F84C-A080-C6949F98D98C}"/>
    <hyperlink ref="B148" r:id="rId25" display="https://www.oklahoma-demographics.com/sequoyah-county-demographics" xr:uid="{567C800B-E421-AA48-A161-A739FC2B964E}"/>
    <hyperlink ref="B126" r:id="rId26" display="https://www.oklahoma-demographics.com/mayes-county-demographics" xr:uid="{7B91D952-753D-9A44-84D5-121CA6CAAA1B}"/>
    <hyperlink ref="B127" r:id="rId27" display="https://www.oklahoma-demographics.com/mcclain-county-demographics" xr:uid="{DAAD772D-630A-E044-8FC3-B1C486FBF3D6}"/>
    <hyperlink ref="B136" r:id="rId28" display="https://www.oklahoma-demographics.com/okmulgee-county-demographics" xr:uid="{C0F25F91-DD05-2A41-A4E0-E74D04642051}"/>
    <hyperlink ref="B142" r:id="rId29" display="https://www.oklahoma-demographics.com/pontotoc-county-demographics" xr:uid="{3137D4D9-1923-E14B-8D1A-E0210F0837DA}"/>
    <hyperlink ref="B121" r:id="rId30" display="https://www.oklahoma-demographics.com/lincoln-county-demographics" xr:uid="{866E92BD-C370-3542-97E4-DEC02B7101E8}"/>
    <hyperlink ref="B128" r:id="rId31" display="https://www.oklahoma-demographics.com/mccurtain-county-demographics" xr:uid="{CFDFFD44-0B1A-EF48-B64F-162F14CE1BB0}"/>
    <hyperlink ref="B138" r:id="rId32" display="https://www.oklahoma-demographics.com/ottawa-county-demographics" xr:uid="{A842A872-C575-4A48-A9B8-D35DC07E8A99}"/>
    <hyperlink ref="B88" r:id="rId33" display="https://www.oklahoma-demographics.com/caddo-county-demographics" xr:uid="{A7E96C0E-9385-6F47-AF8A-A4A04E0AEB41}"/>
    <hyperlink ref="B100" r:id="rId34" display="https://www.oklahoma-demographics.com/custer-county-demographics" xr:uid="{AF08C441-B4F3-A944-88D2-8F2B52CFCF35}"/>
    <hyperlink ref="B105" r:id="rId35" display="https://www.oklahoma-demographics.com/garvin-county-demographics" xr:uid="{2C08E257-3E46-FA40-A3C8-E15E8071146E}"/>
    <hyperlink ref="B113" r:id="rId36" display="https://www.oklahoma-demographics.com/jackson-county-demographics" xr:uid="{841B00EA-D40C-6745-9005-8AE1B97DB98B}"/>
    <hyperlink ref="B147" r:id="rId37" display="https://www.oklahoma-demographics.com/seminole-county-demographics" xr:uid="{C615E1A7-15E0-CF45-842B-FC00C5F97A44}"/>
    <hyperlink ref="B81" r:id="rId38" display="https://www.oklahoma-demographics.com/adair-county-demographics" xr:uid="{305A5BFF-89A8-E742-89A0-FBD27DE6BAEB}"/>
    <hyperlink ref="B85" r:id="rId39" display="https://www.oklahoma-demographics.com/beckham-county-demographics" xr:uid="{49A0786D-B98A-7447-947A-595AB7C56264}"/>
    <hyperlink ref="B150" r:id="rId40" display="https://www.oklahoma-demographics.com/texas-county-demographics" xr:uid="{60910201-C5BD-7649-B229-D570D573CA6D}"/>
    <hyperlink ref="B157" r:id="rId41" display="https://www.oklahoma-demographics.com/woodward-county-demographics" xr:uid="{E75E5441-5BD0-0D4B-962A-37F29C8E11B8}"/>
    <hyperlink ref="B129" r:id="rId42" display="https://www.oklahoma-demographics.com/mcintosh-county-demographics" xr:uid="{6129B5FE-781A-1A4C-B8F7-35ED2AECF8D5}"/>
    <hyperlink ref="B125" r:id="rId43" display="https://www.oklahoma-demographics.com/marshall-county-demographics" xr:uid="{B61DEF93-AF1F-6C4F-A36E-5AF498991935}"/>
    <hyperlink ref="B139" r:id="rId44" display="https://www.oklahoma-demographics.com/pawnee-county-demographics" xr:uid="{732AE7E6-1680-F749-8B9B-777028A4BD91}"/>
    <hyperlink ref="B117" r:id="rId45" display="https://www.oklahoma-demographics.com/kingfisher-county-demographics" xr:uid="{96C383C8-87A1-2043-B3CF-95D2F8A71B68}"/>
    <hyperlink ref="B92" r:id="rId46" display="https://www.oklahoma-demographics.com/choctaw-county-demographics" xr:uid="{DACFF8D6-B183-0141-867B-BFBB00F226A8}"/>
    <hyperlink ref="B98" r:id="rId47" display="https://www.oklahoma-demographics.com/craig-county-demographics" xr:uid="{41C0F412-E761-C845-81A9-B1FA173E6A2C}"/>
    <hyperlink ref="B130" r:id="rId48" display="https://www.oklahoma-demographics.com/murray-county-demographics" xr:uid="{2A83EAF4-500D-774E-B03F-86480C955084}"/>
    <hyperlink ref="B83" r:id="rId49" display="https://www.oklahoma-demographics.com/atoka-county-demographics" xr:uid="{34D69BB5-7FB9-CF42-887E-40A56C2AB38C}"/>
    <hyperlink ref="B112" r:id="rId50" display="https://www.oklahoma-demographics.com/hughes-county-demographics" xr:uid="{69DD2B9C-0849-664B-9BC3-CDFF33B5134A}"/>
    <hyperlink ref="B111" r:id="rId51" display="https://www.oklahoma-demographics.com/haskell-county-demographics" xr:uid="{0F644E1E-1A26-4944-92E6-7764361C67A9}"/>
    <hyperlink ref="B134" r:id="rId52" display="https://www.oklahoma-demographics.com/okfuskee-county-demographics" xr:uid="{78BC35D2-931E-084B-BE05-D3B9906DD63D}"/>
    <hyperlink ref="B132" r:id="rId53" display="https://www.oklahoma-demographics.com/noble-county-demographics" xr:uid="{4E32450A-4442-0343-B963-DF3E666D3C48}"/>
    <hyperlink ref="B155" r:id="rId54" display="https://www.oklahoma-demographics.com/washita-county-demographics" xr:uid="{42C7ED26-27AF-F14E-862F-5F68D2CD4433}"/>
    <hyperlink ref="B144" r:id="rId55" display="https://www.oklahoma-demographics.com/pushmataha-county-demographics" xr:uid="{5FB2285C-CA7A-974A-B072-D6DC7610BB3D}"/>
    <hyperlink ref="B115" r:id="rId56" display="https://www.oklahoma-demographics.com/johnston-county-demographics" xr:uid="{4DC09729-1768-0240-94FE-991A5553F23D}"/>
    <hyperlink ref="B133" r:id="rId57" display="https://www.oklahoma-demographics.com/nowata-county-demographics" xr:uid="{3D03CCDE-399B-734D-8038-A3C272BAE178}"/>
    <hyperlink ref="B119" r:id="rId58" display="https://www.oklahoma-demographics.com/latimer-county-demographics" xr:uid="{96E07FFA-9C28-1D41-A242-682C6D4356E1}"/>
    <hyperlink ref="B123" r:id="rId59" display="https://www.oklahoma-demographics.com/love-county-demographics" xr:uid="{1EECA144-013A-9F48-96A5-76AAA12A213F}"/>
    <hyperlink ref="B86" r:id="rId60" display="https://www.oklahoma-demographics.com/blaine-county-demographics" xr:uid="{074D7DFF-2296-D74F-BF45-66629670DF5D}"/>
    <hyperlink ref="B156" r:id="rId61" display="https://www.oklahoma-demographics.com/woods-county-demographics" xr:uid="{A77F9DFD-1590-D14A-B2F5-2AFA493401BF}"/>
    <hyperlink ref="B118" r:id="rId62" display="https://www.oklahoma-demographics.com/kiowa-county-demographics" xr:uid="{F801F3EC-8447-A341-87D5-000CFBB23B13}"/>
    <hyperlink ref="B124" r:id="rId63" display="https://www.oklahoma-demographics.com/major-county-demographics" xr:uid="{D84A6AE5-C773-FA4C-B131-54D7664879C3}"/>
    <hyperlink ref="B151" r:id="rId64" display="https://www.oklahoma-demographics.com/tillman-county-demographics" xr:uid="{A2845484-72E8-974A-9AA5-0056D2427411}"/>
    <hyperlink ref="B114" r:id="rId65" display="https://www.oklahoma-demographics.com/jefferson-county-demographics" xr:uid="{7168FD3C-3C62-3446-936B-B12BD978DC86}"/>
    <hyperlink ref="B82" r:id="rId66" display="https://www.oklahoma-demographics.com/alfalfa-county-demographics" xr:uid="{F3A75666-6431-C84F-B0E7-661D5FDEC8A1}"/>
    <hyperlink ref="B108" r:id="rId67" display="https://www.oklahoma-demographics.com/greer-county-demographics" xr:uid="{28805EE5-4173-BD45-9DA3-83C133BBBA14}"/>
    <hyperlink ref="B97" r:id="rId68" display="https://www.oklahoma-demographics.com/cotton-county-demographics" xr:uid="{1C2D780D-2884-D244-A114-1D9DA857D028}"/>
    <hyperlink ref="B95" r:id="rId69" display="https://www.oklahoma-demographics.com/coal-county-demographics" xr:uid="{E63DAA61-4065-F243-93DC-09DFA2D916E5}"/>
    <hyperlink ref="B84" r:id="rId70" display="https://www.oklahoma-demographics.com/beaver-county-demographics" xr:uid="{E4C48A9B-C185-8E47-96EF-70CC9AC29874}"/>
    <hyperlink ref="B102" r:id="rId71" display="https://www.oklahoma-demographics.com/dewey-county-demographics" xr:uid="{A925E9DE-EC00-AB4E-BEB1-EECB98E003D8}"/>
    <hyperlink ref="B107" r:id="rId72" display="https://www.oklahoma-demographics.com/grant-county-demographics" xr:uid="{D664013D-8A3B-8046-8480-B2CFF3860347}"/>
    <hyperlink ref="B103" r:id="rId73" display="https://www.oklahoma-demographics.com/ellis-county-demographics" xr:uid="{A3609AAB-28F9-0B44-9494-CFEA1A4F396D}"/>
    <hyperlink ref="B110" r:id="rId74" display="https://www.oklahoma-demographics.com/harper-county-demographics" xr:uid="{C13CB24F-D6A9-274C-8F90-2896DC06B758}"/>
    <hyperlink ref="B145" r:id="rId75" display="https://www.oklahoma-demographics.com/roger-mills-county-demographics" xr:uid="{5CDD0A3C-D73A-AF4F-BAE2-4F3250AB65DC}"/>
    <hyperlink ref="B109" r:id="rId76" display="https://www.oklahoma-demographics.com/harmon-county-demographics" xr:uid="{14E7031F-B81C-2143-88C1-467FE82B3797}"/>
    <hyperlink ref="B93" r:id="rId77" display="https://www.oklahoma-demographics.com/cimarron-county-demographics" xr:uid="{4AB5D126-A06B-3F47-B249-0A635C5EA365}"/>
  </hyperlinks>
  <pageMargins left="0.7" right="0.7" top="0.75" bottom="0.75" header="0.3" footer="0.3"/>
  <tableParts count="3">
    <tablePart r:id="rId78"/>
    <tablePart r:id="rId79"/>
    <tablePart r:id="rId80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CC8C-310E-6D46-8A93-A3F494BBFF46}">
  <dimension ref="A1:R137"/>
  <sheetViews>
    <sheetView topLeftCell="B1" workbookViewId="0">
      <selection activeCell="Q2" sqref="Q2:Q4"/>
    </sheetView>
  </sheetViews>
  <sheetFormatPr baseColWidth="10" defaultRowHeight="13"/>
  <cols>
    <col min="1" max="1" width="14.1640625" customWidth="1"/>
    <col min="2" max="2" width="12.83203125" customWidth="1"/>
    <col min="3" max="3" width="17.33203125" customWidth="1"/>
    <col min="7" max="7" width="12.1640625" customWidth="1"/>
    <col min="8" max="8" width="17.33203125" customWidth="1"/>
    <col min="9" max="9" width="17.33203125" style="1" customWidth="1"/>
    <col min="10" max="10" width="14.5" customWidth="1"/>
    <col min="11" max="11" width="18.33203125" customWidth="1"/>
    <col min="12" max="12" width="18.33203125" style="1" customWidth="1"/>
    <col min="13" max="13" width="15.5" customWidth="1"/>
  </cols>
  <sheetData>
    <row r="1" spans="1:18" ht="21">
      <c r="A1" s="95" t="s">
        <v>64</v>
      </c>
      <c r="B1" s="95" t="s">
        <v>2693</v>
      </c>
      <c r="C1" s="95" t="s">
        <v>1674</v>
      </c>
      <c r="D1" s="95" t="s">
        <v>2762</v>
      </c>
      <c r="E1" s="95" t="s">
        <v>1677</v>
      </c>
      <c r="G1" s="15" t="s">
        <v>165</v>
      </c>
      <c r="H1" s="15" t="s">
        <v>168</v>
      </c>
      <c r="I1" s="15" t="s">
        <v>1677</v>
      </c>
      <c r="J1" s="15" t="s">
        <v>169</v>
      </c>
      <c r="K1" s="15" t="s">
        <v>166</v>
      </c>
      <c r="L1" s="15" t="s">
        <v>1687</v>
      </c>
      <c r="M1" s="15" t="s">
        <v>167</v>
      </c>
      <c r="N1" s="15" t="s">
        <v>62</v>
      </c>
      <c r="Q1" t="s">
        <v>267</v>
      </c>
      <c r="R1" t="s">
        <v>328</v>
      </c>
    </row>
    <row r="2" spans="1:18" ht="20">
      <c r="A2" s="78" t="s">
        <v>2694</v>
      </c>
      <c r="B2" s="78" t="s">
        <v>2695</v>
      </c>
      <c r="C2" s="78" t="s">
        <v>297</v>
      </c>
      <c r="D2" s="78">
        <v>34</v>
      </c>
      <c r="E2" s="78">
        <f>Table85[[#This Row],[2018]]/C71</f>
        <v>3.3129683221764253E-4</v>
      </c>
      <c r="G2" s="16" t="s">
        <v>1144</v>
      </c>
      <c r="H2" s="17">
        <v>18207</v>
      </c>
      <c r="I2" s="80">
        <f>Table86[[#This Row],[BIDEN VOTES]]/C71</f>
        <v>0.17740945365254757</v>
      </c>
      <c r="J2" s="18">
        <v>0.32200000000000001</v>
      </c>
      <c r="K2" s="17">
        <v>37523</v>
      </c>
      <c r="L2" s="80">
        <f>Table86[[#This Row],[TRUMP VOTES]]/C71</f>
        <v>0.36562503045007649</v>
      </c>
      <c r="M2" s="18">
        <v>0.66400000000000003</v>
      </c>
      <c r="N2" s="80">
        <f>1-(Table86[[#This Row],[NbP]]+Table86[[#This Row],[NbP2]])</f>
        <v>0.456965515897376</v>
      </c>
      <c r="P2" t="s">
        <v>1672</v>
      </c>
      <c r="Q2">
        <f>CORREL(E:E,I:I)</f>
        <v>-0.46012973286748776</v>
      </c>
      <c r="R2">
        <v>0.1</v>
      </c>
    </row>
    <row r="3" spans="1:18" ht="20">
      <c r="A3" s="78" t="s">
        <v>2696</v>
      </c>
      <c r="B3" s="78" t="s">
        <v>2695</v>
      </c>
      <c r="C3" s="78" t="s">
        <v>297</v>
      </c>
      <c r="D3" s="78">
        <v>179</v>
      </c>
      <c r="E3" s="78">
        <f>Table85[[#This Row],[2018]]/C72</f>
        <v>1.4691639718314483E-4</v>
      </c>
      <c r="G3" s="16" t="s">
        <v>2763</v>
      </c>
      <c r="H3" s="17">
        <v>429065</v>
      </c>
      <c r="I3" s="80">
        <f>Table86[[#This Row],[BIDEN VOTES]]/C72</f>
        <v>0.35216024557198905</v>
      </c>
      <c r="J3" s="18">
        <v>0.59599999999999997</v>
      </c>
      <c r="K3" s="17">
        <v>282324</v>
      </c>
      <c r="L3" s="80">
        <f>Table86[[#This Row],[TRUMP VOTES]]/C72</f>
        <v>0.23172080959963229</v>
      </c>
      <c r="M3" s="18">
        <v>0.39200000000000002</v>
      </c>
      <c r="N3" s="80">
        <f>1-(Table86[[#This Row],[NbP]]+Table86[[#This Row],[NbP2]])</f>
        <v>0.41611894482837863</v>
      </c>
      <c r="P3" t="s">
        <v>1671</v>
      </c>
      <c r="Q3">
        <f>CORREL(E:E,L:L)</f>
        <v>0.25259732782589173</v>
      </c>
      <c r="R3" s="1">
        <v>0.1</v>
      </c>
    </row>
    <row r="4" spans="1:18" ht="20">
      <c r="A4" s="78" t="s">
        <v>2697</v>
      </c>
      <c r="B4" s="78" t="s">
        <v>2695</v>
      </c>
      <c r="C4" s="78" t="s">
        <v>297</v>
      </c>
      <c r="D4" s="78">
        <v>54</v>
      </c>
      <c r="E4" s="78">
        <f>Table85[[#This Row],[2018]]/C73</f>
        <v>8.262439561784687E-4</v>
      </c>
      <c r="G4" s="16" t="s">
        <v>335</v>
      </c>
      <c r="H4" s="17">
        <v>8457</v>
      </c>
      <c r="I4" s="80">
        <f>Table86[[#This Row],[BIDEN VOTES]]/C73</f>
        <v>0.12939898402595018</v>
      </c>
      <c r="J4" s="18">
        <v>0.23300000000000001</v>
      </c>
      <c r="K4" s="17">
        <v>27489</v>
      </c>
      <c r="L4" s="80">
        <f>Table86[[#This Row],[TRUMP VOTES]]/C73</f>
        <v>0.42060407613685047</v>
      </c>
      <c r="M4" s="18">
        <v>0.75600000000000001</v>
      </c>
      <c r="N4" s="80">
        <f>1-(Table86[[#This Row],[NbP]]+Table86[[#This Row],[NbP2]])</f>
        <v>0.44999693983719935</v>
      </c>
      <c r="P4" t="s">
        <v>1679</v>
      </c>
      <c r="Q4">
        <f>CORREL(E:E,N:N)</f>
        <v>0.37421957119110372</v>
      </c>
      <c r="R4" s="1">
        <v>0.1</v>
      </c>
    </row>
    <row r="5" spans="1:18" ht="20">
      <c r="A5" s="78" t="s">
        <v>2698</v>
      </c>
      <c r="B5" s="78" t="s">
        <v>2695</v>
      </c>
      <c r="C5" s="78" t="s">
        <v>297</v>
      </c>
      <c r="D5" s="78">
        <v>68</v>
      </c>
      <c r="E5" s="78">
        <f>Table85[[#This Row],[2018]]/C74</f>
        <v>4.1266893634581657E-4</v>
      </c>
      <c r="G5" s="16" t="s">
        <v>2651</v>
      </c>
      <c r="H5" s="17">
        <v>38122</v>
      </c>
      <c r="I5" s="80">
        <f>Table86[[#This Row],[BIDEN VOTES]]/C74</f>
        <v>0.23134948810845909</v>
      </c>
      <c r="J5" s="18">
        <v>0.40500000000000003</v>
      </c>
      <c r="K5" s="17">
        <v>54759</v>
      </c>
      <c r="L5" s="80">
        <f>Table86[[#This Row],[TRUMP VOTES]]/C74</f>
        <v>0.332313798314126</v>
      </c>
      <c r="M5" s="18">
        <v>0.58199999999999996</v>
      </c>
      <c r="N5" s="80">
        <f>1-(Table86[[#This Row],[NbP]]+Table86[[#This Row],[NbP2]])</f>
        <v>0.43633671357741488</v>
      </c>
    </row>
    <row r="6" spans="1:18" ht="20">
      <c r="A6" s="78" t="s">
        <v>2699</v>
      </c>
      <c r="B6" s="78" t="s">
        <v>2695</v>
      </c>
      <c r="C6" s="78" t="s">
        <v>297</v>
      </c>
      <c r="D6" s="78">
        <v>23</v>
      </c>
      <c r="E6" s="78">
        <f>Table85[[#This Row],[2018]]/C75</f>
        <v>4.7763425675956305E-4</v>
      </c>
      <c r="G6" s="16" t="s">
        <v>171</v>
      </c>
      <c r="H6" s="17">
        <v>4367</v>
      </c>
      <c r="I6" s="80">
        <f>Table86[[#This Row],[BIDEN VOTES]]/C75</f>
        <v>9.068820866387009E-2</v>
      </c>
      <c r="J6" s="18">
        <v>0.158</v>
      </c>
      <c r="K6" s="17">
        <v>23025</v>
      </c>
      <c r="L6" s="80">
        <f>Table86[[#This Row],[TRUMP VOTES]]/C75</f>
        <v>0.4781534244299539</v>
      </c>
      <c r="M6" s="18">
        <v>0.83499999999999996</v>
      </c>
      <c r="N6" s="80">
        <f>1-(Table86[[#This Row],[NbP]]+Table86[[#This Row],[NbP2]])</f>
        <v>0.43115836690617604</v>
      </c>
    </row>
    <row r="7" spans="1:18" ht="20">
      <c r="A7" s="78" t="s">
        <v>2700</v>
      </c>
      <c r="B7" s="78" t="s">
        <v>2695</v>
      </c>
      <c r="C7" s="78" t="s">
        <v>297</v>
      </c>
      <c r="D7" s="78">
        <v>147</v>
      </c>
      <c r="E7" s="78">
        <f>Table85[[#This Row],[2018]]/C76</f>
        <v>3.5078341629639527E-4</v>
      </c>
      <c r="G7" s="16" t="s">
        <v>2764</v>
      </c>
      <c r="H7" s="17">
        <v>92895</v>
      </c>
      <c r="I7" s="80">
        <f>Table86[[#This Row],[BIDEN VOTES]]/C76</f>
        <v>0.2216736425636302</v>
      </c>
      <c r="J7" s="18">
        <v>0.45200000000000001</v>
      </c>
      <c r="K7" s="17">
        <v>109736</v>
      </c>
      <c r="L7" s="80">
        <f>Table86[[#This Row],[TRUMP VOTES]]/C76</f>
        <v>0.26186101340613083</v>
      </c>
      <c r="M7" s="18">
        <v>0.53400000000000003</v>
      </c>
      <c r="N7" s="80">
        <f>1-(Table86[[#This Row],[NbP]]+Table86[[#This Row],[NbP2]])</f>
        <v>0.51646534403023892</v>
      </c>
    </row>
    <row r="8" spans="1:18" ht="20">
      <c r="A8" s="78" t="s">
        <v>2701</v>
      </c>
      <c r="B8" s="78" t="s">
        <v>2695</v>
      </c>
      <c r="C8" s="78" t="s">
        <v>297</v>
      </c>
      <c r="D8" s="78">
        <v>59</v>
      </c>
      <c r="E8" s="78">
        <f>Table85[[#This Row],[2018]]/C77</f>
        <v>4.8165231233927917E-4</v>
      </c>
      <c r="G8" s="16" t="s">
        <v>2765</v>
      </c>
      <c r="H8" s="17">
        <v>17636</v>
      </c>
      <c r="I8" s="80">
        <f>Table86[[#This Row],[BIDEN VOTES]]/C77</f>
        <v>0.14397322339687335</v>
      </c>
      <c r="J8" s="18">
        <v>0.27700000000000002</v>
      </c>
      <c r="K8" s="17">
        <v>45306</v>
      </c>
      <c r="L8" s="80">
        <f>Table86[[#This Row],[TRUMP VOTES]]/C77</f>
        <v>0.36985999428548105</v>
      </c>
      <c r="M8" s="18">
        <v>0.71199999999999997</v>
      </c>
      <c r="N8" s="80">
        <f>1-(Table86[[#This Row],[NbP]]+Table86[[#This Row],[NbP2]])</f>
        <v>0.48616678231764565</v>
      </c>
    </row>
    <row r="9" spans="1:18" ht="20">
      <c r="A9" s="78" t="s">
        <v>2702</v>
      </c>
      <c r="B9" s="78" t="s">
        <v>2695</v>
      </c>
      <c r="C9" s="78" t="s">
        <v>297</v>
      </c>
      <c r="D9" s="78">
        <v>37</v>
      </c>
      <c r="E9" s="78">
        <f>Table85[[#This Row],[2018]]/C78</f>
        <v>6.093443783863902E-4</v>
      </c>
      <c r="G9" s="16" t="s">
        <v>2766</v>
      </c>
      <c r="H9" s="17">
        <v>8046</v>
      </c>
      <c r="I9" s="80">
        <f>Table86[[#This Row],[BIDEN VOTES]]/C78</f>
        <v>0.13250769914856475</v>
      </c>
      <c r="J9" s="18">
        <v>0.26700000000000002</v>
      </c>
      <c r="K9" s="17">
        <v>21600</v>
      </c>
      <c r="L9" s="80">
        <f>Table86[[#This Row],[TRUMP VOTES]]/C78</f>
        <v>0.35572536684178457</v>
      </c>
      <c r="M9" s="18">
        <v>0.71599999999999997</v>
      </c>
      <c r="N9" s="80">
        <f>1-(Table86[[#This Row],[NbP]]+Table86[[#This Row],[NbP2]])</f>
        <v>0.51176693400965068</v>
      </c>
    </row>
    <row r="10" spans="1:18" ht="20">
      <c r="A10" s="78" t="s">
        <v>2703</v>
      </c>
      <c r="B10" s="78" t="s">
        <v>2695</v>
      </c>
      <c r="C10" s="78" t="s">
        <v>297</v>
      </c>
      <c r="D10" s="78">
        <v>116</v>
      </c>
      <c r="E10" s="78">
        <f>Table85[[#This Row],[2018]]/C79</f>
        <v>1.8481107846823479E-4</v>
      </c>
      <c r="G10" s="16" t="s">
        <v>2767</v>
      </c>
      <c r="H10" s="17">
        <v>204712</v>
      </c>
      <c r="I10" s="80">
        <f>Table86[[#This Row],[BIDEN VOTES]]/C79</f>
        <v>0.32614694392576965</v>
      </c>
      <c r="J10" s="18">
        <v>0.51700000000000002</v>
      </c>
      <c r="K10" s="17">
        <v>187367</v>
      </c>
      <c r="L10" s="80">
        <f>Table86[[#This Row],[TRUMP VOTES]]/C79</f>
        <v>0.29851290809791164</v>
      </c>
      <c r="M10" s="18">
        <v>0.47299999999999998</v>
      </c>
      <c r="N10" s="80">
        <f>1-(Table86[[#This Row],[NbP]]+Table86[[#This Row],[NbP2]])</f>
        <v>0.37534014797631876</v>
      </c>
    </row>
    <row r="11" spans="1:18" ht="20">
      <c r="A11" s="78" t="s">
        <v>2704</v>
      </c>
      <c r="B11" s="78" t="s">
        <v>2695</v>
      </c>
      <c r="C11" s="78" t="s">
        <v>297</v>
      </c>
      <c r="D11" s="78">
        <v>41</v>
      </c>
      <c r="E11" s="78">
        <f>Table85[[#This Row],[2018]]/C80</f>
        <v>2.1831968391569664E-4</v>
      </c>
      <c r="G11" s="16" t="s">
        <v>926</v>
      </c>
      <c r="H11" s="17">
        <v>37508</v>
      </c>
      <c r="I11" s="80">
        <f>Table86[[#This Row],[BIDEN VOTES]]/C80</f>
        <v>0.19972523669048659</v>
      </c>
      <c r="J11" s="18">
        <v>0.33100000000000002</v>
      </c>
      <c r="K11" s="17">
        <v>74359</v>
      </c>
      <c r="L11" s="80">
        <f>Table86[[#This Row],[TRUMP VOTES]]/C80</f>
        <v>0.39595203356798264</v>
      </c>
      <c r="M11" s="18">
        <v>0.65600000000000003</v>
      </c>
      <c r="N11" s="80">
        <f>1-(Table86[[#This Row],[NbP]]+Table86[[#This Row],[NbP2]])</f>
        <v>0.40432272974153083</v>
      </c>
    </row>
    <row r="12" spans="1:18" ht="20">
      <c r="A12" s="78" t="s">
        <v>2705</v>
      </c>
      <c r="B12" s="78" t="s">
        <v>2695</v>
      </c>
      <c r="C12" s="78" t="s">
        <v>297</v>
      </c>
      <c r="D12" s="78">
        <v>31</v>
      </c>
      <c r="E12" s="78">
        <f>Table85[[#This Row],[2018]]/C81</f>
        <v>2.3554262181732529E-4</v>
      </c>
      <c r="G12" s="16" t="s">
        <v>2768</v>
      </c>
      <c r="H12" s="17">
        <v>21730</v>
      </c>
      <c r="I12" s="80">
        <f>Table86[[#This Row],[BIDEN VOTES]]/C81</f>
        <v>0.16510777974485416</v>
      </c>
      <c r="J12" s="18">
        <v>0.308</v>
      </c>
      <c r="K12" s="17">
        <v>48085</v>
      </c>
      <c r="L12" s="80">
        <f>Table86[[#This Row],[TRUMP VOTES]]/C81</f>
        <v>0.36535699903503505</v>
      </c>
      <c r="M12" s="18">
        <v>0.68100000000000005</v>
      </c>
      <c r="N12" s="80">
        <f>1-(Table86[[#This Row],[NbP]]+Table86[[#This Row],[NbP2]])</f>
        <v>0.46953522122011082</v>
      </c>
    </row>
    <row r="13" spans="1:18" ht="20">
      <c r="A13" s="78" t="s">
        <v>2706</v>
      </c>
      <c r="B13" s="78" t="s">
        <v>2695</v>
      </c>
      <c r="C13" s="78" t="s">
        <v>297</v>
      </c>
      <c r="D13" s="78">
        <v>5</v>
      </c>
      <c r="E13" s="78">
        <f>Table85[[#This Row],[2018]]/C82</f>
        <v>1.1081560283687944E-3</v>
      </c>
      <c r="G13" s="16" t="s">
        <v>360</v>
      </c>
      <c r="H13" s="19">
        <v>634</v>
      </c>
      <c r="I13" s="80">
        <f>Table86[[#This Row],[BIDEN VOTES]]/C82</f>
        <v>0.14051418439716312</v>
      </c>
      <c r="J13" s="18">
        <v>0.26</v>
      </c>
      <c r="K13" s="17">
        <v>1771</v>
      </c>
      <c r="L13" s="80">
        <f>Table86[[#This Row],[TRUMP VOTES]]/C82</f>
        <v>0.39250886524822692</v>
      </c>
      <c r="M13" s="18">
        <v>0.72799999999999998</v>
      </c>
      <c r="N13" s="80">
        <f>1-(Table86[[#This Row],[NbP]]+Table86[[#This Row],[NbP2]])</f>
        <v>0.46697695035460995</v>
      </c>
    </row>
    <row r="14" spans="1:18" ht="20">
      <c r="A14" s="78" t="s">
        <v>2707</v>
      </c>
      <c r="B14" s="78" t="s">
        <v>2695</v>
      </c>
      <c r="C14" s="78" t="s">
        <v>297</v>
      </c>
      <c r="D14" s="78">
        <v>38</v>
      </c>
      <c r="E14" s="78">
        <f>Table85[[#This Row],[2018]]/C83</f>
        <v>5.9408417234694513E-4</v>
      </c>
      <c r="G14" s="16" t="s">
        <v>2769</v>
      </c>
      <c r="H14" s="17">
        <v>11212</v>
      </c>
      <c r="I14" s="80">
        <f>Table86[[#This Row],[BIDEN VOTES]]/C83</f>
        <v>0.17528609843036708</v>
      </c>
      <c r="J14" s="18">
        <v>0.33300000000000002</v>
      </c>
      <c r="K14" s="17">
        <v>21984</v>
      </c>
      <c r="L14" s="80">
        <f>Table86[[#This Row],[TRUMP VOTES]]/C83</f>
        <v>0.34369332749671688</v>
      </c>
      <c r="M14" s="18">
        <v>0.65400000000000003</v>
      </c>
      <c r="N14" s="80">
        <f>1-(Table86[[#This Row],[NbP]]+Table86[[#This Row],[NbP2]])</f>
        <v>0.4810205740729161</v>
      </c>
    </row>
    <row r="15" spans="1:18" ht="20">
      <c r="A15" s="78" t="s">
        <v>2708</v>
      </c>
      <c r="B15" s="78" t="s">
        <v>2695</v>
      </c>
      <c r="C15" s="78" t="s">
        <v>297</v>
      </c>
      <c r="D15" s="78">
        <v>41</v>
      </c>
      <c r="E15" s="78">
        <f>Table85[[#This Row],[2018]]/C84</f>
        <v>2.5267465365084058E-4</v>
      </c>
      <c r="G15" s="16" t="s">
        <v>2770</v>
      </c>
      <c r="H15" s="17">
        <v>40055</v>
      </c>
      <c r="I15" s="80">
        <f>Table86[[#This Row],[BIDEN VOTES]]/C84</f>
        <v>0.24685081102401024</v>
      </c>
      <c r="J15" s="18">
        <v>0.51700000000000002</v>
      </c>
      <c r="K15" s="17">
        <v>36372</v>
      </c>
      <c r="L15" s="80">
        <f>Table86[[#This Row],[TRUMP VOTES]]/C84</f>
        <v>0.22415323177044816</v>
      </c>
      <c r="M15" s="18">
        <v>0.46899999999999997</v>
      </c>
      <c r="N15" s="80">
        <f>1-(Table86[[#This Row],[NbP]]+Table86[[#This Row],[NbP2]])</f>
        <v>0.5289959572055416</v>
      </c>
    </row>
    <row r="16" spans="1:18" ht="20">
      <c r="A16" s="78" t="s">
        <v>2709</v>
      </c>
      <c r="B16" s="78" t="s">
        <v>2695</v>
      </c>
      <c r="C16" s="78" t="s">
        <v>297</v>
      </c>
      <c r="D16" s="78">
        <v>116</v>
      </c>
      <c r="E16" s="78">
        <f>Table85[[#This Row],[2018]]/C85</f>
        <v>2.2223073680983945E-4</v>
      </c>
      <c r="G16" s="16" t="s">
        <v>181</v>
      </c>
      <c r="H16" s="17">
        <v>182372</v>
      </c>
      <c r="I16" s="80">
        <f>Table86[[#This Row],[BIDEN VOTES]]/C85</f>
        <v>0.34938503390934517</v>
      </c>
      <c r="J16" s="18">
        <v>0.57999999999999996</v>
      </c>
      <c r="K16" s="17">
        <v>128565</v>
      </c>
      <c r="L16" s="80">
        <f>Table86[[#This Row],[TRUMP VOTES]]/C85</f>
        <v>0.2463025403272156</v>
      </c>
      <c r="M16" s="18">
        <v>0.40899999999999997</v>
      </c>
      <c r="N16" s="80">
        <f>1-(Table86[[#This Row],[NbP]]+Table86[[#This Row],[NbP2]])</f>
        <v>0.40431242576343918</v>
      </c>
    </row>
    <row r="17" spans="1:14" ht="20">
      <c r="A17" s="78" t="s">
        <v>2710</v>
      </c>
      <c r="B17" s="78" t="s">
        <v>2695</v>
      </c>
      <c r="C17" s="78" t="s">
        <v>297</v>
      </c>
      <c r="D17" s="78">
        <v>29</v>
      </c>
      <c r="E17" s="78">
        <f>Table85[[#This Row],[2018]]/C86</f>
        <v>7.5065358631222013E-4</v>
      </c>
      <c r="G17" s="16" t="s">
        <v>2771</v>
      </c>
      <c r="H17" s="17">
        <v>4678</v>
      </c>
      <c r="I17" s="80">
        <f>Table86[[#This Row],[BIDEN VOTES]]/C86</f>
        <v>0.12108818885408848</v>
      </c>
      <c r="J17" s="18">
        <v>0.24</v>
      </c>
      <c r="K17" s="17">
        <v>14578</v>
      </c>
      <c r="L17" s="80">
        <f>Table86[[#This Row],[TRUMP VOTES]]/C86</f>
        <v>0.37734579245722571</v>
      </c>
      <c r="M17" s="18">
        <v>0.748</v>
      </c>
      <c r="N17" s="80">
        <f>1-(Table86[[#This Row],[NbP]]+Table86[[#This Row],[NbP2]])</f>
        <v>0.50156601868868578</v>
      </c>
    </row>
    <row r="18" spans="1:14" ht="20">
      <c r="A18" s="78" t="s">
        <v>2711</v>
      </c>
      <c r="B18" s="78" t="s">
        <v>2695</v>
      </c>
      <c r="C18" s="78" t="s">
        <v>297</v>
      </c>
      <c r="D18" s="78">
        <v>49</v>
      </c>
      <c r="E18" s="78">
        <f>Table85[[#This Row],[2018]]/C87</f>
        <v>6.1661591120730876E-4</v>
      </c>
      <c r="G18" s="16" t="s">
        <v>2772</v>
      </c>
      <c r="H18" s="17">
        <v>9673</v>
      </c>
      <c r="I18" s="80">
        <f>Table86[[#This Row],[BIDEN VOTES]]/C87</f>
        <v>0.12172501447159792</v>
      </c>
      <c r="J18" s="18">
        <v>0.245</v>
      </c>
      <c r="K18" s="17">
        <v>29203</v>
      </c>
      <c r="L18" s="80">
        <f>Table86[[#This Row],[TRUMP VOTES]]/C87</f>
        <v>0.3674904990813681</v>
      </c>
      <c r="M18" s="18">
        <v>0.74099999999999999</v>
      </c>
      <c r="N18" s="80">
        <f>1-(Table86[[#This Row],[NbP]]+Table86[[#This Row],[NbP2]])</f>
        <v>0.510784486447034</v>
      </c>
    </row>
    <row r="19" spans="1:14" ht="20">
      <c r="A19" s="78" t="s">
        <v>2712</v>
      </c>
      <c r="B19" s="78" t="s">
        <v>2695</v>
      </c>
      <c r="C19" s="78" t="s">
        <v>297</v>
      </c>
      <c r="D19" s="78">
        <v>13</v>
      </c>
      <c r="E19" s="78">
        <f>Table85[[#This Row],[2018]]/C88</f>
        <v>3.3723313185815454E-4</v>
      </c>
      <c r="G19" s="16" t="s">
        <v>1405</v>
      </c>
      <c r="H19" s="17">
        <v>5502</v>
      </c>
      <c r="I19" s="80">
        <f>Table86[[#This Row],[BIDEN VOTES]]/C88</f>
        <v>0.14272743780642819</v>
      </c>
      <c r="J19" s="18">
        <v>0.312</v>
      </c>
      <c r="K19" s="17">
        <v>11902</v>
      </c>
      <c r="L19" s="80">
        <f>Table86[[#This Row],[TRUMP VOTES]]/C88</f>
        <v>0.30874990272121194</v>
      </c>
      <c r="M19" s="18">
        <v>0.67500000000000004</v>
      </c>
      <c r="N19" s="80">
        <f>1-(Table86[[#This Row],[NbP]]+Table86[[#This Row],[NbP2]])</f>
        <v>0.5485226594723599</v>
      </c>
    </row>
    <row r="20" spans="1:14" ht="20">
      <c r="A20" s="78" t="s">
        <v>2713</v>
      </c>
      <c r="B20" s="78" t="s">
        <v>2695</v>
      </c>
      <c r="C20" s="78" t="s">
        <v>297</v>
      </c>
      <c r="D20" s="78">
        <v>41</v>
      </c>
      <c r="E20" s="78">
        <f>Table85[[#This Row],[2018]]/C89</f>
        <v>6.2700718764337052E-4</v>
      </c>
      <c r="G20" s="16" t="s">
        <v>271</v>
      </c>
      <c r="H20" s="17">
        <v>10532</v>
      </c>
      <c r="I20" s="80">
        <f>Table86[[#This Row],[BIDEN VOTES]]/C89</f>
        <v>0.16106438293317021</v>
      </c>
      <c r="J20" s="18">
        <v>0.33800000000000002</v>
      </c>
      <c r="K20" s="17">
        <v>20098</v>
      </c>
      <c r="L20" s="80">
        <f>Table86[[#This Row],[TRUMP VOTES]]/C89</f>
        <v>0.30735586481113319</v>
      </c>
      <c r="M20" s="18">
        <v>0.64500000000000002</v>
      </c>
      <c r="N20" s="80">
        <f>1-(Table86[[#This Row],[NbP]]+Table86[[#This Row],[NbP2]])</f>
        <v>0.53157975225569665</v>
      </c>
    </row>
    <row r="21" spans="1:14" ht="20">
      <c r="A21" s="78" t="s">
        <v>2714</v>
      </c>
      <c r="B21" s="78" t="s">
        <v>2695</v>
      </c>
      <c r="C21" s="78" t="s">
        <v>297</v>
      </c>
      <c r="D21" s="78">
        <v>59</v>
      </c>
      <c r="E21" s="78">
        <f>Table85[[#This Row],[2018]]/C90</f>
        <v>6.9351388203211324E-4</v>
      </c>
      <c r="G21" s="16" t="s">
        <v>1331</v>
      </c>
      <c r="H21" s="17">
        <v>12924</v>
      </c>
      <c r="I21" s="80">
        <f>Table86[[#This Row],[BIDEN VOTES]]/C90</f>
        <v>0.15191480358276324</v>
      </c>
      <c r="J21" s="18">
        <v>0.308</v>
      </c>
      <c r="K21" s="17">
        <v>28559</v>
      </c>
      <c r="L21" s="80">
        <f>Table86[[#This Row],[TRUMP VOTES]]/C90</f>
        <v>0.33569598232127323</v>
      </c>
      <c r="M21" s="18">
        <v>0.68</v>
      </c>
      <c r="N21" s="80">
        <f>1-(Table86[[#This Row],[NbP]]+Table86[[#This Row],[NbP2]])</f>
        <v>0.5123892140959635</v>
      </c>
    </row>
    <row r="22" spans="1:14" ht="20">
      <c r="A22" s="78" t="s">
        <v>2715</v>
      </c>
      <c r="B22" s="78" t="s">
        <v>2695</v>
      </c>
      <c r="C22" s="78" t="s">
        <v>297</v>
      </c>
      <c r="D22" s="78">
        <v>98</v>
      </c>
      <c r="E22" s="78">
        <f>Table85[[#This Row],[2018]]/C91</f>
        <v>3.8968217045016242E-4</v>
      </c>
      <c r="G22" s="16" t="s">
        <v>187</v>
      </c>
      <c r="H22" s="17">
        <v>62245</v>
      </c>
      <c r="I22" s="80">
        <f>Table86[[#This Row],[BIDEN VOTES]]/C91</f>
        <v>0.2475078234660241</v>
      </c>
      <c r="J22" s="18">
        <v>0.44</v>
      </c>
      <c r="K22" s="17">
        <v>77212</v>
      </c>
      <c r="L22" s="80">
        <f>Table86[[#This Row],[TRUMP VOTES]]/C91</f>
        <v>0.30702183413059125</v>
      </c>
      <c r="M22" s="18">
        <v>0.54500000000000004</v>
      </c>
      <c r="N22" s="80">
        <f>1-(Table86[[#This Row],[NbP]]+Table86[[#This Row],[NbP2]])</f>
        <v>0.44547034240338468</v>
      </c>
    </row>
    <row r="23" spans="1:14" ht="20">
      <c r="A23" s="78" t="s">
        <v>2716</v>
      </c>
      <c r="B23" s="78" t="s">
        <v>2695</v>
      </c>
      <c r="C23" s="78" t="s">
        <v>297</v>
      </c>
      <c r="D23" s="78">
        <v>163</v>
      </c>
      <c r="E23" s="78">
        <f>Table85[[#This Row],[2018]]/C92</f>
        <v>5.8829686253703928E-4</v>
      </c>
      <c r="G23" s="16" t="s">
        <v>2773</v>
      </c>
      <c r="H23" s="17">
        <v>78983</v>
      </c>
      <c r="I23" s="80">
        <f>Table86[[#This Row],[BIDEN VOTES]]/C92</f>
        <v>0.28506411713965013</v>
      </c>
      <c r="J23" s="18">
        <v>0.53600000000000003</v>
      </c>
      <c r="K23" s="17">
        <v>66408</v>
      </c>
      <c r="L23" s="80">
        <f>Table86[[#This Row],[TRUMP VOTES]]/C92</f>
        <v>0.23967863832736014</v>
      </c>
      <c r="M23" s="18">
        <v>0.45100000000000001</v>
      </c>
      <c r="N23" s="80">
        <f>1-(Table86[[#This Row],[NbP]]+Table86[[#This Row],[NbP2]])</f>
        <v>0.47525724453298968</v>
      </c>
    </row>
    <row r="24" spans="1:14" ht="20">
      <c r="A24" s="78" t="s">
        <v>2717</v>
      </c>
      <c r="B24" s="78" t="s">
        <v>2695</v>
      </c>
      <c r="C24" s="78" t="s">
        <v>297</v>
      </c>
      <c r="D24" s="78">
        <v>105</v>
      </c>
      <c r="E24" s="78">
        <f>Table85[[#This Row],[2018]]/C93</f>
        <v>1.8573288427249315E-4</v>
      </c>
      <c r="G24" s="16" t="s">
        <v>1457</v>
      </c>
      <c r="H24" s="17">
        <v>206423</v>
      </c>
      <c r="I24" s="80">
        <f>Table86[[#This Row],[BIDEN VOTES]]/C93</f>
        <v>0.36513846828743668</v>
      </c>
      <c r="J24" s="18">
        <v>0.629</v>
      </c>
      <c r="K24" s="17">
        <v>118532</v>
      </c>
      <c r="L24" s="80">
        <f>Table86[[#This Row],[TRUMP VOTES]]/C93</f>
        <v>0.20966943084368719</v>
      </c>
      <c r="M24" s="18">
        <v>0.36099999999999999</v>
      </c>
      <c r="N24" s="80">
        <f>1-(Table86[[#This Row],[NbP]]+Table86[[#This Row],[NbP2]])</f>
        <v>0.42519210086887615</v>
      </c>
    </row>
    <row r="25" spans="1:14" ht="20">
      <c r="A25" s="78" t="s">
        <v>2718</v>
      </c>
      <c r="B25" s="78" t="s">
        <v>2695</v>
      </c>
      <c r="C25" s="78" t="s">
        <v>297</v>
      </c>
      <c r="D25" s="78">
        <v>20</v>
      </c>
      <c r="E25" s="78">
        <f>Table85[[#This Row],[2018]]/C94</f>
        <v>6.6495993616384611E-4</v>
      </c>
      <c r="G25" s="16" t="s">
        <v>2774</v>
      </c>
      <c r="H25" s="17">
        <v>4522</v>
      </c>
      <c r="I25" s="80">
        <f>Table86[[#This Row],[BIDEN VOTES]]/C94</f>
        <v>0.15034744156664562</v>
      </c>
      <c r="J25" s="18">
        <v>0.26700000000000002</v>
      </c>
      <c r="K25" s="17">
        <v>12140</v>
      </c>
      <c r="L25" s="80">
        <f>Table86[[#This Row],[TRUMP VOTES]]/C94</f>
        <v>0.40363068125145463</v>
      </c>
      <c r="M25" s="18">
        <v>0.71799999999999997</v>
      </c>
      <c r="N25" s="80">
        <f>1-(Table86[[#This Row],[NbP]]+Table86[[#This Row],[NbP2]])</f>
        <v>0.44602187718189978</v>
      </c>
    </row>
    <row r="26" spans="1:14" ht="20">
      <c r="A26" s="78" t="s">
        <v>2719</v>
      </c>
      <c r="B26" s="78" t="s">
        <v>2695</v>
      </c>
      <c r="C26" s="78" t="s">
        <v>297</v>
      </c>
      <c r="D26" s="78">
        <v>122</v>
      </c>
      <c r="E26" s="78">
        <f>Table85[[#This Row],[2018]]/C95</f>
        <v>4.4845357035207283E-4</v>
      </c>
      <c r="G26" s="16" t="s">
        <v>2365</v>
      </c>
      <c r="H26" s="17">
        <v>68286</v>
      </c>
      <c r="I26" s="80">
        <f>Table86[[#This Row],[BIDEN VOTES]]/C95</f>
        <v>0.25100902053329216</v>
      </c>
      <c r="J26" s="18">
        <v>0.498</v>
      </c>
      <c r="K26" s="17">
        <v>66869</v>
      </c>
      <c r="L26" s="80">
        <f>Table86[[#This Row],[TRUMP VOTES]]/C95</f>
        <v>0.24580034258912095</v>
      </c>
      <c r="M26" s="18">
        <v>0.48799999999999999</v>
      </c>
      <c r="N26" s="80">
        <f>1-(Table86[[#This Row],[NbP]]+Table86[[#This Row],[NbP2]])</f>
        <v>0.50319063687758692</v>
      </c>
    </row>
    <row r="27" spans="1:14" ht="20">
      <c r="A27" s="78" t="s">
        <v>2720</v>
      </c>
      <c r="B27" s="78" t="s">
        <v>2695</v>
      </c>
      <c r="C27" s="78" t="s">
        <v>297</v>
      </c>
      <c r="D27" s="78">
        <v>67</v>
      </c>
      <c r="E27" s="78">
        <f>Table85[[#This Row],[2018]]/C96</f>
        <v>5.140835884569052E-4</v>
      </c>
      <c r="G27" s="16" t="s">
        <v>193</v>
      </c>
      <c r="H27" s="17">
        <v>20444</v>
      </c>
      <c r="I27" s="80">
        <f>Table86[[#This Row],[BIDEN VOTES]]/C96</f>
        <v>0.15686455048377568</v>
      </c>
      <c r="J27" s="18">
        <v>0.32900000000000001</v>
      </c>
      <c r="K27" s="17">
        <v>41227</v>
      </c>
      <c r="L27" s="80">
        <f>Table86[[#This Row],[TRUMP VOTES]]/C96</f>
        <v>0.31633021046735571</v>
      </c>
      <c r="M27" s="18">
        <v>0.66300000000000003</v>
      </c>
      <c r="N27" s="80">
        <f>1-(Table86[[#This Row],[NbP]]+Table86[[#This Row],[NbP2]])</f>
        <v>0.52680523904886867</v>
      </c>
    </row>
    <row r="28" spans="1:14" ht="20">
      <c r="A28" s="78" t="s">
        <v>2721</v>
      </c>
      <c r="B28" s="78" t="s">
        <v>2695</v>
      </c>
      <c r="C28" s="78" t="s">
        <v>297</v>
      </c>
      <c r="D28" s="78">
        <v>7</v>
      </c>
      <c r="E28" s="78">
        <f>Table85[[#This Row],[2018]]/C97</f>
        <v>9.7357440890125178E-4</v>
      </c>
      <c r="G28" s="16" t="s">
        <v>2775</v>
      </c>
      <c r="H28" s="19">
        <v>728</v>
      </c>
      <c r="I28" s="80">
        <f>Table86[[#This Row],[BIDEN VOTES]]/C97</f>
        <v>0.10125173852573018</v>
      </c>
      <c r="J28" s="18">
        <v>0.27500000000000002</v>
      </c>
      <c r="K28" s="17">
        <v>1882</v>
      </c>
      <c r="L28" s="80">
        <f>Table86[[#This Row],[TRUMP VOTES]]/C97</f>
        <v>0.26175243393602227</v>
      </c>
      <c r="M28" s="18">
        <v>0.71099999999999997</v>
      </c>
      <c r="N28" s="80">
        <f>1-(Table86[[#This Row],[NbP]]+Table86[[#This Row],[NbP2]])</f>
        <v>0.63699582753824757</v>
      </c>
    </row>
    <row r="29" spans="1:14" ht="20">
      <c r="A29" s="78" t="s">
        <v>2722</v>
      </c>
      <c r="B29" s="78" t="s">
        <v>2695</v>
      </c>
      <c r="C29" s="78" t="s">
        <v>297</v>
      </c>
      <c r="D29" s="78">
        <v>76</v>
      </c>
      <c r="E29" s="78">
        <f>Table85[[#This Row],[2018]]/C98</f>
        <v>4.9046813893155385E-4</v>
      </c>
      <c r="G29" s="16" t="s">
        <v>195</v>
      </c>
      <c r="H29" s="17">
        <v>22422</v>
      </c>
      <c r="I29" s="80">
        <f>Table86[[#This Row],[BIDEN VOTES]]/C98</f>
        <v>0.14470100804109606</v>
      </c>
      <c r="J29" s="18">
        <v>0.27800000000000002</v>
      </c>
      <c r="K29" s="17">
        <v>57245</v>
      </c>
      <c r="L29" s="80">
        <f>Table86[[#This Row],[TRUMP VOTES]]/C98</f>
        <v>0.36943221859390529</v>
      </c>
      <c r="M29" s="18">
        <v>0.70899999999999996</v>
      </c>
      <c r="N29" s="80">
        <f>1-(Table86[[#This Row],[NbP]]+Table86[[#This Row],[NbP2]])</f>
        <v>0.48586677336499862</v>
      </c>
    </row>
    <row r="30" spans="1:14" ht="20">
      <c r="A30" s="78" t="s">
        <v>2723</v>
      </c>
      <c r="B30" s="78" t="s">
        <v>2695</v>
      </c>
      <c r="C30" s="78" t="s">
        <v>297</v>
      </c>
      <c r="D30" s="78">
        <v>3</v>
      </c>
      <c r="E30" s="78">
        <f>Table85[[#This Row],[2018]]/C99</f>
        <v>2.070107645597571E-4</v>
      </c>
      <c r="G30" s="16" t="s">
        <v>1343</v>
      </c>
      <c r="H30" s="17">
        <v>1085</v>
      </c>
      <c r="I30" s="80">
        <f>Table86[[#This Row],[BIDEN VOTES]]/C99</f>
        <v>7.4868893182445481E-2</v>
      </c>
      <c r="J30" s="18">
        <v>0.13600000000000001</v>
      </c>
      <c r="K30" s="17">
        <v>6824</v>
      </c>
      <c r="L30" s="80">
        <f>Table86[[#This Row],[TRUMP VOTES]]/C99</f>
        <v>0.47088048578526082</v>
      </c>
      <c r="M30" s="18">
        <v>0.85499999999999998</v>
      </c>
      <c r="N30" s="80">
        <f>1-(Table86[[#This Row],[NbP]]+Table86[[#This Row],[NbP2]])</f>
        <v>0.45425062103229374</v>
      </c>
    </row>
    <row r="31" spans="1:14" ht="20">
      <c r="A31" s="78" t="s">
        <v>2724</v>
      </c>
      <c r="B31" s="78" t="s">
        <v>2695</v>
      </c>
      <c r="C31" s="78" t="s">
        <v>297</v>
      </c>
      <c r="D31" s="78">
        <v>46</v>
      </c>
      <c r="E31" s="78">
        <f>Table85[[#This Row],[2018]]/C100</f>
        <v>1.2608266637430107E-3</v>
      </c>
      <c r="G31" s="16" t="s">
        <v>199</v>
      </c>
      <c r="H31" s="17">
        <v>4911</v>
      </c>
      <c r="I31" s="80">
        <f>Table86[[#This Row],[BIDEN VOTES]]/C100</f>
        <v>0.13460695099221576</v>
      </c>
      <c r="J31" s="18">
        <v>0.27800000000000002</v>
      </c>
      <c r="K31" s="17">
        <v>12579</v>
      </c>
      <c r="L31" s="80">
        <f>Table86[[#This Row],[TRUMP VOTES]]/C100</f>
        <v>0.34478127398311587</v>
      </c>
      <c r="M31" s="18">
        <v>0.71199999999999997</v>
      </c>
      <c r="N31" s="80">
        <f>1-(Table86[[#This Row],[NbP]]+Table86[[#This Row],[NbP2]])</f>
        <v>0.52061177502466838</v>
      </c>
    </row>
    <row r="32" spans="1:14" ht="20">
      <c r="A32" s="78" t="s">
        <v>2725</v>
      </c>
      <c r="B32" s="78" t="s">
        <v>2695</v>
      </c>
      <c r="C32" s="78" t="s">
        <v>297</v>
      </c>
      <c r="D32" s="78">
        <v>11</v>
      </c>
      <c r="E32" s="78">
        <f>Table85[[#This Row],[2018]]/C101</f>
        <v>2.4365931996898882E-4</v>
      </c>
      <c r="G32" s="16" t="s">
        <v>2776</v>
      </c>
      <c r="H32" s="17">
        <v>5445</v>
      </c>
      <c r="I32" s="80">
        <f>Table86[[#This Row],[BIDEN VOTES]]/C101</f>
        <v>0.12061136338464946</v>
      </c>
      <c r="J32" s="18">
        <v>0.23899999999999999</v>
      </c>
      <c r="K32" s="17">
        <v>17061</v>
      </c>
      <c r="L32" s="80">
        <f>Table86[[#This Row],[TRUMP VOTES]]/C101</f>
        <v>0.37791560527190166</v>
      </c>
      <c r="M32" s="18">
        <v>0.749</v>
      </c>
      <c r="N32" s="80">
        <f>1-(Table86[[#This Row],[NbP]]+Table86[[#This Row],[NbP2]])</f>
        <v>0.50147303134344889</v>
      </c>
    </row>
    <row r="33" spans="1:14" ht="20">
      <c r="A33" s="78" t="s">
        <v>2726</v>
      </c>
      <c r="B33" s="78" t="s">
        <v>2695</v>
      </c>
      <c r="C33" s="78" t="s">
        <v>297</v>
      </c>
      <c r="D33" s="78">
        <v>37</v>
      </c>
      <c r="E33" s="78">
        <f>Table85[[#This Row],[2018]]/C102</f>
        <v>4.3806163645619976E-4</v>
      </c>
      <c r="G33" s="16" t="s">
        <v>2777</v>
      </c>
      <c r="H33" s="17">
        <v>12634</v>
      </c>
      <c r="I33" s="80">
        <f>Table86[[#This Row],[BIDEN VOTES]]/C102</f>
        <v>0.1495802895942602</v>
      </c>
      <c r="J33" s="18">
        <v>0.307</v>
      </c>
      <c r="K33" s="17">
        <v>28089</v>
      </c>
      <c r="L33" s="80">
        <f>Table86[[#This Row],[TRUMP VOTES]]/C102</f>
        <v>0.33255981909238364</v>
      </c>
      <c r="M33" s="18">
        <v>0.68200000000000005</v>
      </c>
      <c r="N33" s="80">
        <f>1-(Table86[[#This Row],[NbP]]+Table86[[#This Row],[NbP2]])</f>
        <v>0.51785989131335619</v>
      </c>
    </row>
    <row r="34" spans="1:14" ht="20">
      <c r="A34" s="78" t="s">
        <v>2727</v>
      </c>
      <c r="B34" s="78" t="s">
        <v>2695</v>
      </c>
      <c r="C34" s="78" t="s">
        <v>297</v>
      </c>
      <c r="D34" s="78">
        <v>26</v>
      </c>
      <c r="E34" s="78">
        <f>Table85[[#This Row],[2018]]/C103</f>
        <v>5.9674087675005733E-4</v>
      </c>
      <c r="G34" s="16" t="s">
        <v>214</v>
      </c>
      <c r="H34" s="17">
        <v>4527</v>
      </c>
      <c r="I34" s="80">
        <f>Table86[[#This Row],[BIDEN VOTES]]/C103</f>
        <v>0.10390176727105807</v>
      </c>
      <c r="J34" s="18">
        <v>0.19800000000000001</v>
      </c>
      <c r="K34" s="17">
        <v>17960</v>
      </c>
      <c r="L34" s="80">
        <f>Table86[[#This Row],[TRUMP VOTES]]/C103</f>
        <v>0.41221023640119347</v>
      </c>
      <c r="M34" s="18">
        <v>0.78700000000000003</v>
      </c>
      <c r="N34" s="80">
        <f>1-(Table86[[#This Row],[NbP]]+Table86[[#This Row],[NbP2]])</f>
        <v>0.48388799632774848</v>
      </c>
    </row>
    <row r="35" spans="1:14" ht="20">
      <c r="A35" s="78" t="s">
        <v>2728</v>
      </c>
      <c r="B35" s="78" t="s">
        <v>2695</v>
      </c>
      <c r="C35" s="78" t="s">
        <v>297</v>
      </c>
      <c r="D35" s="78">
        <v>8</v>
      </c>
      <c r="E35" s="78">
        <f>Table85[[#This Row],[2018]]/C104</f>
        <v>3.2445147422638604E-4</v>
      </c>
      <c r="G35" s="16" t="s">
        <v>2778</v>
      </c>
      <c r="H35" s="17">
        <v>2253</v>
      </c>
      <c r="I35" s="80">
        <f>Table86[[#This Row],[BIDEN VOTES]]/C104</f>
        <v>9.1373646429005959E-2</v>
      </c>
      <c r="J35" s="18">
        <v>0.187</v>
      </c>
      <c r="K35" s="17">
        <v>9649</v>
      </c>
      <c r="L35" s="80">
        <f>Table86[[#This Row],[TRUMP VOTES]]/C104</f>
        <v>0.39132903435129984</v>
      </c>
      <c r="M35" s="18">
        <v>0.80100000000000005</v>
      </c>
      <c r="N35" s="80">
        <f>1-(Table86[[#This Row],[NbP]]+Table86[[#This Row],[NbP2]])</f>
        <v>0.51729731921969413</v>
      </c>
    </row>
    <row r="36" spans="1:14" ht="20">
      <c r="A36" s="78" t="s">
        <v>2729</v>
      </c>
      <c r="B36" s="78" t="s">
        <v>2695</v>
      </c>
      <c r="C36" s="78" t="s">
        <v>297</v>
      </c>
      <c r="D36" s="78">
        <v>108</v>
      </c>
      <c r="E36" s="78">
        <f>Table85[[#This Row],[2018]]/C105</f>
        <v>5.1388928540839918E-4</v>
      </c>
      <c r="G36" s="16" t="s">
        <v>2779</v>
      </c>
      <c r="H36" s="17">
        <v>61991</v>
      </c>
      <c r="I36" s="80">
        <f>Table86[[#This Row],[BIDEN VOTES]]/C105</f>
        <v>0.29496769159029701</v>
      </c>
      <c r="J36" s="18">
        <v>0.53700000000000003</v>
      </c>
      <c r="K36" s="17">
        <v>52334</v>
      </c>
      <c r="L36" s="80">
        <f>Table86[[#This Row],[TRUMP VOTES]]/C105</f>
        <v>0.24901742465336266</v>
      </c>
      <c r="M36" s="18">
        <v>0.45300000000000001</v>
      </c>
      <c r="N36" s="80">
        <f>1-(Table86[[#This Row],[NbP]]+Table86[[#This Row],[NbP2]])</f>
        <v>0.45601488375634036</v>
      </c>
    </row>
    <row r="37" spans="1:14" ht="20">
      <c r="A37" s="78" t="s">
        <v>2730</v>
      </c>
      <c r="B37" s="78" t="s">
        <v>2695</v>
      </c>
      <c r="C37" s="78" t="s">
        <v>297</v>
      </c>
      <c r="D37" s="78">
        <v>204</v>
      </c>
      <c r="E37" s="78">
        <f>Table85[[#This Row],[2018]]/C106</f>
        <v>3.7565601694134978E-4</v>
      </c>
      <c r="G37" s="16" t="s">
        <v>2252</v>
      </c>
      <c r="H37" s="17">
        <v>115847</v>
      </c>
      <c r="I37" s="80">
        <f>Table86[[#This Row],[BIDEN VOTES]]/C106</f>
        <v>0.21332658134610072</v>
      </c>
      <c r="J37" s="18">
        <v>0.41299999999999998</v>
      </c>
      <c r="K37" s="17">
        <v>160209</v>
      </c>
      <c r="L37" s="80">
        <f>Table86[[#This Row],[TRUMP VOTES]]/C106</f>
        <v>0.29501703342233682</v>
      </c>
      <c r="M37" s="18">
        <v>0.57199999999999995</v>
      </c>
      <c r="N37" s="80">
        <f>1-(Table86[[#This Row],[NbP]]+Table86[[#This Row],[NbP2]])</f>
        <v>0.49165638523156252</v>
      </c>
    </row>
    <row r="38" spans="1:14" ht="20">
      <c r="A38" s="78" t="s">
        <v>2731</v>
      </c>
      <c r="B38" s="78" t="s">
        <v>2695</v>
      </c>
      <c r="C38" s="78" t="s">
        <v>297</v>
      </c>
      <c r="D38" s="78">
        <v>21</v>
      </c>
      <c r="E38" s="78">
        <f>Table85[[#This Row],[2018]]/C107</f>
        <v>2.4376654130101686E-4</v>
      </c>
      <c r="G38" s="16" t="s">
        <v>219</v>
      </c>
      <c r="H38" s="17">
        <v>15978</v>
      </c>
      <c r="I38" s="80">
        <f>Table86[[#This Row],[BIDEN VOTES]]/C107</f>
        <v>0.18547151413845939</v>
      </c>
      <c r="J38" s="18">
        <v>0.34699999999999998</v>
      </c>
      <c r="K38" s="17">
        <v>29597</v>
      </c>
      <c r="L38" s="80">
        <f>Table86[[#This Row],[TRUMP VOTES]]/C107</f>
        <v>0.34355992013743791</v>
      </c>
      <c r="M38" s="18">
        <v>0.64200000000000002</v>
      </c>
      <c r="N38" s="80">
        <f>1-(Table86[[#This Row],[NbP]]+Table86[[#This Row],[NbP2]])</f>
        <v>0.47096856572410273</v>
      </c>
    </row>
    <row r="39" spans="1:14" ht="20">
      <c r="A39" s="78" t="s">
        <v>2732</v>
      </c>
      <c r="B39" s="78" t="s">
        <v>2695</v>
      </c>
      <c r="C39" s="78" t="s">
        <v>297</v>
      </c>
      <c r="D39" s="78">
        <v>76</v>
      </c>
      <c r="E39" s="78">
        <f>Table85[[#This Row],[2018]]/C108</f>
        <v>5.4127198917456026E-4</v>
      </c>
      <c r="G39" s="16" t="s">
        <v>2780</v>
      </c>
      <c r="H39" s="17">
        <v>23932</v>
      </c>
      <c r="I39" s="80">
        <f>Table86[[#This Row],[BIDEN VOTES]]/C108</f>
        <v>0.17044370059112599</v>
      </c>
      <c r="J39" s="18">
        <v>0.33400000000000002</v>
      </c>
      <c r="K39" s="17">
        <v>46731</v>
      </c>
      <c r="L39" s="80">
        <f>Table86[[#This Row],[TRUMP VOTES]]/C108</f>
        <v>0.3328181753436365</v>
      </c>
      <c r="M39" s="18">
        <v>0.65200000000000002</v>
      </c>
      <c r="N39" s="80">
        <f>1-(Table86[[#This Row],[NbP]]+Table86[[#This Row],[NbP2]])</f>
        <v>0.49673812406523754</v>
      </c>
    </row>
    <row r="40" spans="1:14" ht="20">
      <c r="A40" s="78" t="s">
        <v>2733</v>
      </c>
      <c r="B40" s="78" t="s">
        <v>2695</v>
      </c>
      <c r="C40" s="78" t="s">
        <v>297</v>
      </c>
      <c r="D40" s="78">
        <v>187</v>
      </c>
      <c r="E40" s="78">
        <f>Table85[[#This Row],[2018]]/C109</f>
        <v>5.0906794287549891E-4</v>
      </c>
      <c r="G40" s="16" t="s">
        <v>2781</v>
      </c>
      <c r="H40" s="17">
        <v>98288</v>
      </c>
      <c r="I40" s="80">
        <f>Table86[[#This Row],[BIDEN VOTES]]/C109</f>
        <v>0.26756828860613385</v>
      </c>
      <c r="J40" s="18">
        <v>0.53200000000000003</v>
      </c>
      <c r="K40" s="17">
        <v>84259</v>
      </c>
      <c r="L40" s="80">
        <f>Table86[[#This Row],[TRUMP VOTES]]/C109</f>
        <v>0.22937730373661314</v>
      </c>
      <c r="M40" s="18">
        <v>0.45600000000000002</v>
      </c>
      <c r="N40" s="80">
        <f>1-(Table86[[#This Row],[NbP]]+Table86[[#This Row],[NbP2]])</f>
        <v>0.50305440765725296</v>
      </c>
    </row>
    <row r="41" spans="1:14" ht="20">
      <c r="A41" s="78" t="s">
        <v>2734</v>
      </c>
      <c r="B41" s="78" t="s">
        <v>2695</v>
      </c>
      <c r="C41" s="78" t="s">
        <v>297</v>
      </c>
      <c r="D41" s="78">
        <v>128</v>
      </c>
      <c r="E41" s="78">
        <f>Table85[[#This Row],[2018]]/C110</f>
        <v>4.0308993629289524E-4</v>
      </c>
      <c r="G41" s="16" t="s">
        <v>2782</v>
      </c>
      <c r="H41" s="17">
        <v>64873</v>
      </c>
      <c r="I41" s="80">
        <f>Table86[[#This Row],[BIDEN VOTES]]/C110</f>
        <v>0.20429416747757026</v>
      </c>
      <c r="J41" s="18">
        <v>0.42299999999999999</v>
      </c>
      <c r="K41" s="17">
        <v>86929</v>
      </c>
      <c r="L41" s="80">
        <f>Table86[[#This Row],[TRUMP VOTES]]/C110</f>
        <v>0.27375160212503974</v>
      </c>
      <c r="M41" s="18">
        <v>0.56699999999999995</v>
      </c>
      <c r="N41" s="80">
        <f>1-(Table86[[#This Row],[NbP]]+Table86[[#This Row],[NbP2]])</f>
        <v>0.52195423039738997</v>
      </c>
    </row>
    <row r="42" spans="1:14" ht="20">
      <c r="A42" s="78" t="s">
        <v>2735</v>
      </c>
      <c r="B42" s="78" t="s">
        <v>2695</v>
      </c>
      <c r="C42" s="78" t="s">
        <v>297</v>
      </c>
      <c r="D42" s="78">
        <v>67</v>
      </c>
      <c r="E42" s="78">
        <f>Table85[[#This Row],[2018]]/C111</f>
        <v>5.8764713105408106E-4</v>
      </c>
      <c r="G42" s="16" t="s">
        <v>2783</v>
      </c>
      <c r="H42" s="17">
        <v>16971</v>
      </c>
      <c r="I42" s="80">
        <f>Table86[[#This Row],[BIDEN VOTES]]/C111</f>
        <v>0.14885014121072851</v>
      </c>
      <c r="J42" s="18">
        <v>0.28599999999999998</v>
      </c>
      <c r="K42" s="17">
        <v>41462</v>
      </c>
      <c r="L42" s="80">
        <f>Table86[[#This Row],[TRUMP VOTES]]/C111</f>
        <v>0.36365709474275087</v>
      </c>
      <c r="M42" s="18">
        <v>0.7</v>
      </c>
      <c r="N42" s="80">
        <f>1-(Table86[[#This Row],[NbP]]+Table86[[#This Row],[NbP2]])</f>
        <v>0.48749276404652064</v>
      </c>
    </row>
    <row r="43" spans="1:14" ht="20">
      <c r="A43" s="78" t="s">
        <v>2736</v>
      </c>
      <c r="B43" s="78" t="s">
        <v>2695</v>
      </c>
      <c r="C43" s="78" t="s">
        <v>297</v>
      </c>
      <c r="D43" s="78">
        <v>43</v>
      </c>
      <c r="E43" s="78">
        <f>Table85[[#This Row],[2018]]/C112</f>
        <v>1.0482435825552765E-3</v>
      </c>
      <c r="G43" s="16" t="s">
        <v>2784</v>
      </c>
      <c r="H43" s="17">
        <v>5098</v>
      </c>
      <c r="I43" s="80">
        <f>Table86[[#This Row],[BIDEN VOTES]]/C112</f>
        <v>0.12427780892713489</v>
      </c>
      <c r="J43" s="18">
        <v>0.26200000000000001</v>
      </c>
      <c r="K43" s="17">
        <v>14083</v>
      </c>
      <c r="L43" s="80">
        <f>Table86[[#This Row],[TRUMP VOTES]]/C112</f>
        <v>0.34331196216572002</v>
      </c>
      <c r="M43" s="18">
        <v>0.72299999999999998</v>
      </c>
      <c r="N43" s="80">
        <f>1-(Table86[[#This Row],[NbP]]+Table86[[#This Row],[NbP2]])</f>
        <v>0.53241022890714507</v>
      </c>
    </row>
    <row r="44" spans="1:14" ht="20">
      <c r="A44" s="78" t="s">
        <v>2737</v>
      </c>
      <c r="B44" s="78" t="s">
        <v>2695</v>
      </c>
      <c r="C44" s="78" t="s">
        <v>297</v>
      </c>
      <c r="D44" s="78">
        <v>63</v>
      </c>
      <c r="E44" s="78">
        <f>Table85[[#This Row],[2018]]/C113</f>
        <v>5.7003773106886594E-4</v>
      </c>
      <c r="G44" s="16" t="s">
        <v>794</v>
      </c>
      <c r="H44" s="17">
        <v>21067</v>
      </c>
      <c r="I44" s="80">
        <f>Table86[[#This Row],[BIDEN VOTES]]/C113</f>
        <v>0.1906188076258381</v>
      </c>
      <c r="J44" s="18">
        <v>0.36399999999999999</v>
      </c>
      <c r="K44" s="17">
        <v>36143</v>
      </c>
      <c r="L44" s="80">
        <f>Table86[[#This Row],[TRUMP VOTES]]/C113</f>
        <v>0.3270297414924131</v>
      </c>
      <c r="M44" s="18">
        <v>0.624</v>
      </c>
      <c r="N44" s="80">
        <f>1-(Table86[[#This Row],[NbP]]+Table86[[#This Row],[NbP2]])</f>
        <v>0.4823514508817488</v>
      </c>
    </row>
    <row r="45" spans="1:14" ht="20">
      <c r="A45" s="78" t="s">
        <v>2738</v>
      </c>
      <c r="B45" s="78" t="s">
        <v>2695</v>
      </c>
      <c r="C45" s="78" t="s">
        <v>297</v>
      </c>
      <c r="D45" s="78">
        <v>39</v>
      </c>
      <c r="E45" s="78">
        <f>Table85[[#This Row],[2018]]/C114</f>
        <v>8.445397258494121E-4</v>
      </c>
      <c r="G45" s="16" t="s">
        <v>2785</v>
      </c>
      <c r="H45" s="17">
        <v>4603</v>
      </c>
      <c r="I45" s="80">
        <f>Table86[[#This Row],[BIDEN VOTES]]/C114</f>
        <v>9.9677342514995992E-2</v>
      </c>
      <c r="J45" s="18">
        <v>0.214</v>
      </c>
      <c r="K45" s="17">
        <v>16670</v>
      </c>
      <c r="L45" s="80">
        <f>Table86[[#This Row],[TRUMP VOTES]]/C114</f>
        <v>0.36098659563871022</v>
      </c>
      <c r="M45" s="18">
        <v>0.77500000000000002</v>
      </c>
      <c r="N45" s="80">
        <f>1-(Table86[[#This Row],[NbP]]+Table86[[#This Row],[NbP2]])</f>
        <v>0.53933606184629379</v>
      </c>
    </row>
    <row r="46" spans="1:14" ht="20">
      <c r="A46" s="78" t="s">
        <v>2739</v>
      </c>
      <c r="B46" s="78" t="s">
        <v>2695</v>
      </c>
      <c r="C46" s="78" t="s">
        <v>297</v>
      </c>
      <c r="D46" s="78">
        <v>97</v>
      </c>
      <c r="E46" s="78">
        <f>Table85[[#This Row],[2018]]/C115</f>
        <v>5.745628583613704E-4</v>
      </c>
      <c r="G46" s="16" t="s">
        <v>231</v>
      </c>
      <c r="H46" s="17">
        <v>44060</v>
      </c>
      <c r="I46" s="80">
        <f>Table86[[#This Row],[BIDEN VOTES]]/C115</f>
        <v>0.26098185092166992</v>
      </c>
      <c r="J46" s="18">
        <v>0.52600000000000002</v>
      </c>
      <c r="K46" s="17">
        <v>38726</v>
      </c>
      <c r="L46" s="80">
        <f>Table86[[#This Row],[TRUMP VOTES]]/C115</f>
        <v>0.22938681704023126</v>
      </c>
      <c r="M46" s="18">
        <v>0.46200000000000002</v>
      </c>
      <c r="N46" s="80">
        <f>1-(Table86[[#This Row],[NbP]]+Table86[[#This Row],[NbP2]])</f>
        <v>0.50963133203809885</v>
      </c>
    </row>
    <row r="47" spans="1:14" ht="20">
      <c r="A47" s="78" t="s">
        <v>2740</v>
      </c>
      <c r="B47" s="78" t="s">
        <v>2695</v>
      </c>
      <c r="C47" s="78" t="s">
        <v>297</v>
      </c>
      <c r="D47" s="78">
        <v>126</v>
      </c>
      <c r="E47" s="78">
        <f>Table85[[#This Row],[2018]]/C116</f>
        <v>1.5232476607268067E-4</v>
      </c>
      <c r="G47" s="16" t="s">
        <v>232</v>
      </c>
      <c r="H47" s="17">
        <v>319511</v>
      </c>
      <c r="I47" s="80">
        <f>Table86[[#This Row],[BIDEN VOTES]]/C116</f>
        <v>0.38626538359244661</v>
      </c>
      <c r="J47" s="18">
        <v>0.626</v>
      </c>
      <c r="K47" s="17">
        <v>185460</v>
      </c>
      <c r="L47" s="80">
        <f>Table86[[#This Row],[TRUMP VOTES]]/C116</f>
        <v>0.2242075485384076</v>
      </c>
      <c r="M47" s="18">
        <v>0.36399999999999999</v>
      </c>
      <c r="N47" s="80">
        <f>1-(Table86[[#This Row],[NbP]]+Table86[[#This Row],[NbP2]])</f>
        <v>0.38952706786914582</v>
      </c>
    </row>
    <row r="48" spans="1:14" ht="20">
      <c r="A48" s="78" t="s">
        <v>2741</v>
      </c>
      <c r="B48" s="78" t="s">
        <v>2695</v>
      </c>
      <c r="C48" s="78" t="s">
        <v>297</v>
      </c>
      <c r="D48" s="78">
        <v>2</v>
      </c>
      <c r="E48" s="78">
        <f>Table85[[#This Row],[2018]]/C117</f>
        <v>1.1002310485201893E-4</v>
      </c>
      <c r="G48" s="16" t="s">
        <v>2786</v>
      </c>
      <c r="H48" s="17">
        <v>3771</v>
      </c>
      <c r="I48" s="80">
        <f>Table86[[#This Row],[BIDEN VOTES]]/C117</f>
        <v>0.20744856419848168</v>
      </c>
      <c r="J48" s="18">
        <v>0.38600000000000001</v>
      </c>
      <c r="K48" s="17">
        <v>5844</v>
      </c>
      <c r="L48" s="80">
        <f>Table86[[#This Row],[TRUMP VOTES]]/C117</f>
        <v>0.32148751237759932</v>
      </c>
      <c r="M48" s="18">
        <v>0.59799999999999998</v>
      </c>
      <c r="N48" s="80">
        <f>1-(Table86[[#This Row],[NbP]]+Table86[[#This Row],[NbP2]])</f>
        <v>0.47106392342391901</v>
      </c>
    </row>
    <row r="49" spans="1:14" ht="20">
      <c r="A49" s="78" t="s">
        <v>2742</v>
      </c>
      <c r="B49" s="78" t="s">
        <v>2695</v>
      </c>
      <c r="C49" s="78" t="s">
        <v>297</v>
      </c>
      <c r="D49" s="78">
        <v>182</v>
      </c>
      <c r="E49" s="78">
        <f>Table85[[#This Row],[2018]]/C118</f>
        <v>5.982257020112874E-4</v>
      </c>
      <c r="G49" s="16" t="s">
        <v>2492</v>
      </c>
      <c r="H49" s="17">
        <v>85087</v>
      </c>
      <c r="I49" s="80">
        <f>Table86[[#This Row],[BIDEN VOTES]]/C118</f>
        <v>0.27967708959909016</v>
      </c>
      <c r="J49" s="18">
        <v>0.498</v>
      </c>
      <c r="K49" s="17">
        <v>83854</v>
      </c>
      <c r="L49" s="80">
        <f>Table86[[#This Row],[TRUMP VOTES]]/C118</f>
        <v>0.27562427481568402</v>
      </c>
      <c r="M49" s="18">
        <v>0.49099999999999999</v>
      </c>
      <c r="N49" s="80">
        <f>1-(Table86[[#This Row],[NbP]]+Table86[[#This Row],[NbP2]])</f>
        <v>0.44469863558522582</v>
      </c>
    </row>
    <row r="50" spans="1:14" ht="20">
      <c r="A50" s="78" t="s">
        <v>2743</v>
      </c>
      <c r="B50" s="78" t="s">
        <v>2695</v>
      </c>
      <c r="C50" s="78" t="s">
        <v>297</v>
      </c>
      <c r="D50" s="78">
        <v>54</v>
      </c>
      <c r="E50" s="78">
        <f>Table85[[#This Row],[2018]]/C119</f>
        <v>5.9188460442378933E-4</v>
      </c>
      <c r="G50" s="16" t="s">
        <v>2787</v>
      </c>
      <c r="H50" s="17">
        <v>12677</v>
      </c>
      <c r="I50" s="80">
        <f>Table86[[#This Row],[BIDEN VOTES]]/C119</f>
        <v>0.13895039130148848</v>
      </c>
      <c r="J50" s="18">
        <v>0.3</v>
      </c>
      <c r="K50" s="17">
        <v>28952</v>
      </c>
      <c r="L50" s="80">
        <f>Table86[[#This Row],[TRUMP VOTES]]/C119</f>
        <v>0.31733783457921388</v>
      </c>
      <c r="M50" s="18">
        <v>0.68500000000000005</v>
      </c>
      <c r="N50" s="80">
        <f>1-(Table86[[#This Row],[NbP]]+Table86[[#This Row],[NbP2]])</f>
        <v>0.54371177411929761</v>
      </c>
    </row>
    <row r="51" spans="1:14" ht="20">
      <c r="A51" s="78" t="s">
        <v>2744</v>
      </c>
      <c r="B51" s="78" t="s">
        <v>2695</v>
      </c>
      <c r="C51" s="78" t="s">
        <v>297</v>
      </c>
      <c r="D51" s="78">
        <v>30</v>
      </c>
      <c r="E51" s="78">
        <f>Table85[[#This Row],[2018]]/C120</f>
        <v>6.5029371599505776E-4</v>
      </c>
      <c r="G51" s="16" t="s">
        <v>237</v>
      </c>
      <c r="H51" s="17">
        <v>5950</v>
      </c>
      <c r="I51" s="80">
        <f>Table86[[#This Row],[BIDEN VOTES]]/C120</f>
        <v>0.12897492033901978</v>
      </c>
      <c r="J51" s="18">
        <v>0.24099999999999999</v>
      </c>
      <c r="K51" s="17">
        <v>18293</v>
      </c>
      <c r="L51" s="80">
        <f>Table86[[#This Row],[TRUMP VOTES]]/C120</f>
        <v>0.39652743155658637</v>
      </c>
      <c r="M51" s="18">
        <v>0.74199999999999999</v>
      </c>
      <c r="N51" s="80">
        <f>1-(Table86[[#This Row],[NbP]]+Table86[[#This Row],[NbP2]])</f>
        <v>0.47449764810439388</v>
      </c>
    </row>
    <row r="52" spans="1:14" ht="20">
      <c r="A52" s="78" t="s">
        <v>2745</v>
      </c>
      <c r="B52" s="78" t="s">
        <v>2695</v>
      </c>
      <c r="C52" s="78" t="s">
        <v>297</v>
      </c>
      <c r="D52" s="78">
        <v>952</v>
      </c>
      <c r="E52" s="78">
        <f>Table85[[#This Row],[2018]]/C121</f>
        <v>6.0194836522331843E-4</v>
      </c>
      <c r="G52" s="16" t="s">
        <v>2788</v>
      </c>
      <c r="H52" s="17">
        <v>603790</v>
      </c>
      <c r="I52" s="80">
        <f>Table86[[#This Row],[BIDEN VOTES]]/C121</f>
        <v>0.38177563386364227</v>
      </c>
      <c r="J52" s="18">
        <v>0.81399999999999995</v>
      </c>
      <c r="K52" s="17">
        <v>132740</v>
      </c>
      <c r="L52" s="80">
        <f>Table86[[#This Row],[TRUMP VOTES]]/C121</f>
        <v>8.3931329831663112E-2</v>
      </c>
      <c r="M52" s="18">
        <v>0.17899999999999999</v>
      </c>
      <c r="N52" s="80">
        <f>1-(Table86[[#This Row],[NbP]]+Table86[[#This Row],[NbP2]])</f>
        <v>0.5342930363046946</v>
      </c>
    </row>
    <row r="53" spans="1:14" ht="20">
      <c r="A53" s="78" t="s">
        <v>2746</v>
      </c>
      <c r="B53" s="78" t="s">
        <v>2695</v>
      </c>
      <c r="C53" s="78" t="s">
        <v>297</v>
      </c>
      <c r="D53" s="78">
        <v>20</v>
      </c>
      <c r="E53" s="78">
        <f>Table85[[#This Row],[2018]]/C122</f>
        <v>3.5932446999640676E-4</v>
      </c>
      <c r="G53" s="16" t="s">
        <v>945</v>
      </c>
      <c r="H53" s="17">
        <v>13019</v>
      </c>
      <c r="I53" s="80">
        <f>Table86[[#This Row],[BIDEN VOTES]]/C122</f>
        <v>0.23390226374416098</v>
      </c>
      <c r="J53" s="18">
        <v>0.4</v>
      </c>
      <c r="K53" s="17">
        <v>19213</v>
      </c>
      <c r="L53" s="80">
        <f>Table86[[#This Row],[TRUMP VOTES]]/C122</f>
        <v>0.34518505210204814</v>
      </c>
      <c r="M53" s="18">
        <v>0.59</v>
      </c>
      <c r="N53" s="80">
        <f>1-(Table86[[#This Row],[NbP]]+Table86[[#This Row],[NbP2]])</f>
        <v>0.42091268415379091</v>
      </c>
    </row>
    <row r="54" spans="1:14" ht="20">
      <c r="A54" s="78" t="s">
        <v>2747</v>
      </c>
      <c r="B54" s="78" t="s">
        <v>2695</v>
      </c>
      <c r="C54" s="78" t="s">
        <v>297</v>
      </c>
      <c r="D54" s="78">
        <v>22</v>
      </c>
      <c r="E54" s="78">
        <f>Table85[[#This Row],[2018]]/C123</f>
        <v>1.3185495954450106E-3</v>
      </c>
      <c r="G54" s="16" t="s">
        <v>497</v>
      </c>
      <c r="H54" s="17">
        <v>1726</v>
      </c>
      <c r="I54" s="80">
        <f>Table86[[#This Row],[BIDEN VOTES]]/C123</f>
        <v>0.10344620916991309</v>
      </c>
      <c r="J54" s="18">
        <v>0.19</v>
      </c>
      <c r="K54" s="17">
        <v>7239</v>
      </c>
      <c r="L54" s="80">
        <f>Table86[[#This Row],[TRUMP VOTES]]/C123</f>
        <v>0.43386275097392868</v>
      </c>
      <c r="M54" s="18">
        <v>0.79900000000000004</v>
      </c>
      <c r="N54" s="80">
        <f>1-(Table86[[#This Row],[NbP]]+Table86[[#This Row],[NbP2]])</f>
        <v>0.46269103985615823</v>
      </c>
    </row>
    <row r="55" spans="1:14" ht="20">
      <c r="A55" s="78" t="s">
        <v>2748</v>
      </c>
      <c r="B55" s="78" t="s">
        <v>2695</v>
      </c>
      <c r="C55" s="78" t="s">
        <v>297</v>
      </c>
      <c r="D55" s="78">
        <v>83</v>
      </c>
      <c r="E55" s="78">
        <f>Table85[[#This Row],[2018]]/C124</f>
        <v>5.8477472082291192E-4</v>
      </c>
      <c r="G55" s="16" t="s">
        <v>2789</v>
      </c>
      <c r="H55" s="17">
        <v>20727</v>
      </c>
      <c r="I55" s="80">
        <f>Table86[[#This Row],[BIDEN VOTES]]/C124</f>
        <v>0.14603163419875295</v>
      </c>
      <c r="J55" s="18">
        <v>0.29399999999999998</v>
      </c>
      <c r="K55" s="17">
        <v>48871</v>
      </c>
      <c r="L55" s="80">
        <f>Table86[[#This Row],[TRUMP VOTES]]/C124</f>
        <v>0.34431958290766901</v>
      </c>
      <c r="M55" s="18">
        <v>0.69199999999999995</v>
      </c>
      <c r="N55" s="80">
        <f>1-(Table86[[#This Row],[NbP]]+Table86[[#This Row],[NbP2]])</f>
        <v>0.50964878289357807</v>
      </c>
    </row>
    <row r="56" spans="1:14" ht="20">
      <c r="A56" s="78" t="s">
        <v>2749</v>
      </c>
      <c r="B56" s="78" t="s">
        <v>2695</v>
      </c>
      <c r="C56" s="78" t="s">
        <v>297</v>
      </c>
      <c r="D56" s="78">
        <v>16</v>
      </c>
      <c r="E56" s="78">
        <f>Table85[[#This Row],[2018]]/C125</f>
        <v>3.9553050529022053E-4</v>
      </c>
      <c r="G56" s="16" t="s">
        <v>2790</v>
      </c>
      <c r="H56" s="17">
        <v>4910</v>
      </c>
      <c r="I56" s="80">
        <f>Table86[[#This Row],[BIDEN VOTES]]/C125</f>
        <v>0.12137842381093641</v>
      </c>
      <c r="J56" s="18">
        <v>0.25700000000000001</v>
      </c>
      <c r="K56" s="17">
        <v>13983</v>
      </c>
      <c r="L56" s="80">
        <f>Table86[[#This Row],[TRUMP VOTES]]/C125</f>
        <v>0.34566894096707207</v>
      </c>
      <c r="M56" s="18">
        <v>0.73099999999999998</v>
      </c>
      <c r="N56" s="80">
        <f>1-(Table86[[#This Row],[NbP]]+Table86[[#This Row],[NbP2]])</f>
        <v>0.53295263522199154</v>
      </c>
    </row>
    <row r="57" spans="1:14" ht="20">
      <c r="A57" s="78" t="s">
        <v>2750</v>
      </c>
      <c r="B57" s="78" t="s">
        <v>2695</v>
      </c>
      <c r="C57" s="78" t="s">
        <v>297</v>
      </c>
      <c r="D57" s="78">
        <v>42</v>
      </c>
      <c r="E57" s="78">
        <f>Table85[[#This Row],[2018]]/C126</f>
        <v>5.6876658902551322E-4</v>
      </c>
      <c r="G57" s="16" t="s">
        <v>800</v>
      </c>
      <c r="H57" s="17">
        <v>8654</v>
      </c>
      <c r="I57" s="80">
        <f>Table86[[#This Row],[BIDEN VOTES]]/C126</f>
        <v>0.11719300146254266</v>
      </c>
      <c r="J57" s="18">
        <v>0.21299999999999999</v>
      </c>
      <c r="K57" s="17">
        <v>31466</v>
      </c>
      <c r="L57" s="80">
        <f>Table86[[#This Row],[TRUMP VOTES]]/C126</f>
        <v>0.42611451167325715</v>
      </c>
      <c r="M57" s="18">
        <v>0.77600000000000002</v>
      </c>
      <c r="N57" s="80">
        <f>1-(Table86[[#This Row],[NbP]]+Table86[[#This Row],[NbP2]])</f>
        <v>0.45669248686420016</v>
      </c>
    </row>
    <row r="58" spans="1:14" ht="20">
      <c r="A58" s="78" t="s">
        <v>2751</v>
      </c>
      <c r="B58" s="78" t="s">
        <v>2695</v>
      </c>
      <c r="C58" s="78" t="s">
        <v>297</v>
      </c>
      <c r="D58" s="78">
        <v>3</v>
      </c>
      <c r="E58" s="78">
        <f>Table85[[#This Row],[2018]]/C127</f>
        <v>4.9685326266975824E-4</v>
      </c>
      <c r="G58" s="16" t="s">
        <v>250</v>
      </c>
      <c r="H58" s="19">
        <v>921</v>
      </c>
      <c r="I58" s="80">
        <f>Table86[[#This Row],[BIDEN VOTES]]/C127</f>
        <v>0.15253395163961578</v>
      </c>
      <c r="J58" s="18">
        <v>0.25600000000000001</v>
      </c>
      <c r="K58" s="17">
        <v>2619</v>
      </c>
      <c r="L58" s="80">
        <f>Table86[[#This Row],[TRUMP VOTES]]/C127</f>
        <v>0.43375289831069891</v>
      </c>
      <c r="M58" s="18">
        <v>0.72899999999999998</v>
      </c>
      <c r="N58" s="80">
        <f>1-(Table86[[#This Row],[NbP]]+Table86[[#This Row],[NbP2]])</f>
        <v>0.41371315004968534</v>
      </c>
    </row>
    <row r="59" spans="1:14" ht="20">
      <c r="A59" s="78" t="s">
        <v>2752</v>
      </c>
      <c r="B59" s="78" t="s">
        <v>2695</v>
      </c>
      <c r="C59" s="78" t="s">
        <v>297</v>
      </c>
      <c r="D59" s="78">
        <v>29</v>
      </c>
      <c r="E59" s="78">
        <f>Table85[[#This Row],[2018]]/C128</f>
        <v>7.142153482415526E-4</v>
      </c>
      <c r="G59" s="16" t="s">
        <v>2791</v>
      </c>
      <c r="H59" s="17">
        <v>6236</v>
      </c>
      <c r="I59" s="80">
        <f>Table86[[#This Row],[BIDEN VOTES]]/C128</f>
        <v>0.1535809279873904</v>
      </c>
      <c r="J59" s="18">
        <v>0.28699999999999998</v>
      </c>
      <c r="K59" s="17">
        <v>15207</v>
      </c>
      <c r="L59" s="80">
        <f>Table86[[#This Row],[TRUMP VOTES]]/C128</f>
        <v>0.3745197517485962</v>
      </c>
      <c r="M59" s="18">
        <v>0.69899999999999995</v>
      </c>
      <c r="N59" s="80">
        <f>1-(Table86[[#This Row],[NbP]]+Table86[[#This Row],[NbP2]])</f>
        <v>0.47189932026401338</v>
      </c>
    </row>
    <row r="60" spans="1:14" ht="20">
      <c r="A60" s="78" t="s">
        <v>2753</v>
      </c>
      <c r="B60" s="78" t="s">
        <v>2695</v>
      </c>
      <c r="C60" s="78" t="s">
        <v>297</v>
      </c>
      <c r="D60" s="78">
        <v>43</v>
      </c>
      <c r="E60" s="78">
        <f>Table85[[#This Row],[2018]]/C129</f>
        <v>1.0549817218283078E-3</v>
      </c>
      <c r="G60" s="16" t="s">
        <v>2382</v>
      </c>
      <c r="H60" s="17">
        <v>4955</v>
      </c>
      <c r="I60" s="80">
        <f>Table86[[#This Row],[BIDEN VOTES]]/C129</f>
        <v>0.12156824259672711</v>
      </c>
      <c r="J60" s="18">
        <v>0.23499999999999999</v>
      </c>
      <c r="K60" s="17">
        <v>15742</v>
      </c>
      <c r="L60" s="80">
        <f>Table86[[#This Row],[TRUMP VOTES]]/C129</f>
        <v>0.38622144802374936</v>
      </c>
      <c r="M60" s="18">
        <v>0.747</v>
      </c>
      <c r="N60" s="80">
        <f>1-(Table86[[#This Row],[NbP]]+Table86[[#This Row],[NbP2]])</f>
        <v>0.49221030937952359</v>
      </c>
    </row>
    <row r="61" spans="1:14" ht="20">
      <c r="A61" s="78" t="s">
        <v>2754</v>
      </c>
      <c r="B61" s="78" t="s">
        <v>2695</v>
      </c>
      <c r="C61" s="78" t="s">
        <v>297</v>
      </c>
      <c r="D61" s="78">
        <v>16</v>
      </c>
      <c r="E61" s="78">
        <f>Table85[[#This Row],[2018]]/C130</f>
        <v>3.5689589792777318E-4</v>
      </c>
      <c r="G61" s="16" t="s">
        <v>255</v>
      </c>
      <c r="H61" s="17">
        <v>7475</v>
      </c>
      <c r="I61" s="80">
        <f>Table86[[#This Row],[BIDEN VOTES]]/C130</f>
        <v>0.16673730231313152</v>
      </c>
      <c r="J61" s="18">
        <v>0.372</v>
      </c>
      <c r="K61" s="17">
        <v>12356</v>
      </c>
      <c r="L61" s="80">
        <f>Table86[[#This Row],[TRUMP VOTES]]/C130</f>
        <v>0.27561285717472284</v>
      </c>
      <c r="M61" s="18">
        <v>0.61399999999999999</v>
      </c>
      <c r="N61" s="80">
        <f>1-(Table86[[#This Row],[NbP]]+Table86[[#This Row],[NbP2]])</f>
        <v>0.55764984051214561</v>
      </c>
    </row>
    <row r="62" spans="1:14" ht="20">
      <c r="A62" s="78" t="s">
        <v>2755</v>
      </c>
      <c r="B62" s="78" t="s">
        <v>2695</v>
      </c>
      <c r="C62" s="78" t="s">
        <v>297</v>
      </c>
      <c r="D62" s="78">
        <v>51</v>
      </c>
      <c r="E62" s="78">
        <f>Table85[[#This Row],[2018]]/C131</f>
        <v>9.9308733326842558E-4</v>
      </c>
      <c r="G62" s="16" t="s">
        <v>2792</v>
      </c>
      <c r="H62" s="17">
        <v>7585</v>
      </c>
      <c r="I62" s="80">
        <f>Table86[[#This Row],[BIDEN VOTES]]/C131</f>
        <v>0.14769740044786292</v>
      </c>
      <c r="J62" s="18">
        <v>0.28599999999999998</v>
      </c>
      <c r="K62" s="17">
        <v>18569</v>
      </c>
      <c r="L62" s="80">
        <f>Table86[[#This Row],[TRUMP VOTES]]/C131</f>
        <v>0.36158115081296854</v>
      </c>
      <c r="M62" s="18">
        <v>0.7</v>
      </c>
      <c r="N62" s="80">
        <f>1-(Table86[[#This Row],[NbP]]+Table86[[#This Row],[NbP2]])</f>
        <v>0.49072144873916856</v>
      </c>
    </row>
    <row r="63" spans="1:14" ht="20">
      <c r="A63" s="78" t="s">
        <v>2756</v>
      </c>
      <c r="B63" s="78" t="s">
        <v>2695</v>
      </c>
      <c r="C63" s="78" t="s">
        <v>297</v>
      </c>
      <c r="D63" s="78">
        <v>23</v>
      </c>
      <c r="E63" s="78">
        <f>Table85[[#This Row],[2018]]/C132</f>
        <v>5.8278011452896159E-4</v>
      </c>
      <c r="G63" s="16" t="s">
        <v>257</v>
      </c>
      <c r="H63" s="17">
        <v>6066</v>
      </c>
      <c r="I63" s="80">
        <f>Table86[[#This Row],[BIDEN VOTES]]/C132</f>
        <v>0.15370192064055135</v>
      </c>
      <c r="J63" s="18">
        <v>0.29399999999999998</v>
      </c>
      <c r="K63" s="17">
        <v>14237</v>
      </c>
      <c r="L63" s="80">
        <f>Table86[[#This Row],[TRUMP VOTES]]/C132</f>
        <v>0.36074089089342726</v>
      </c>
      <c r="M63" s="18">
        <v>0.68899999999999995</v>
      </c>
      <c r="N63" s="80">
        <f>1-(Table86[[#This Row],[NbP]]+Table86[[#This Row],[NbP2]])</f>
        <v>0.48555718846602136</v>
      </c>
    </row>
    <row r="64" spans="1:14" ht="20">
      <c r="A64" s="78" t="s">
        <v>2757</v>
      </c>
      <c r="B64" s="78" t="s">
        <v>2695</v>
      </c>
      <c r="C64" s="78" t="s">
        <v>297</v>
      </c>
      <c r="D64" s="78">
        <v>63</v>
      </c>
      <c r="E64" s="78">
        <f>Table85[[#This Row],[2018]]/C133</f>
        <v>3.0422878004259202E-4</v>
      </c>
      <c r="G64" s="16" t="s">
        <v>258</v>
      </c>
      <c r="H64" s="17">
        <v>45088</v>
      </c>
      <c r="I64" s="80">
        <f>Table86[[#This Row],[BIDEN VOTES]]/C133</f>
        <v>0.21773122594540301</v>
      </c>
      <c r="J64" s="18">
        <v>0.38100000000000001</v>
      </c>
      <c r="K64" s="17">
        <v>72080</v>
      </c>
      <c r="L64" s="80">
        <f>Table86[[#This Row],[TRUMP VOTES]]/C133</f>
        <v>0.34807635659476244</v>
      </c>
      <c r="M64" s="18">
        <v>0.60799999999999998</v>
      </c>
      <c r="N64" s="80">
        <f>1-(Table86[[#This Row],[NbP]]+Table86[[#This Row],[NbP2]])</f>
        <v>0.43419241745983461</v>
      </c>
    </row>
    <row r="65" spans="1:14" ht="20">
      <c r="A65" s="78" t="s">
        <v>2758</v>
      </c>
      <c r="B65" s="78" t="s">
        <v>2695</v>
      </c>
      <c r="C65" s="78" t="s">
        <v>297</v>
      </c>
      <c r="D65" s="78">
        <v>24</v>
      </c>
      <c r="E65" s="78">
        <f>Table85[[#This Row],[2018]]/C134</f>
        <v>4.6812826714519778E-4</v>
      </c>
      <c r="G65" s="16" t="s">
        <v>259</v>
      </c>
      <c r="H65" s="17">
        <v>9191</v>
      </c>
      <c r="I65" s="80">
        <f>Table86[[#This Row],[BIDEN VOTES]]/C134</f>
        <v>0.17927362097214636</v>
      </c>
      <c r="J65" s="18">
        <v>0.32700000000000001</v>
      </c>
      <c r="K65" s="17">
        <v>18637</v>
      </c>
      <c r="L65" s="80">
        <f>Table86[[#This Row],[TRUMP VOTES]]/C134</f>
        <v>0.36352110478271044</v>
      </c>
      <c r="M65" s="18">
        <v>0.66300000000000003</v>
      </c>
      <c r="N65" s="80">
        <f>1-(Table86[[#This Row],[NbP]]+Table86[[#This Row],[NbP2]])</f>
        <v>0.45720527424514323</v>
      </c>
    </row>
    <row r="66" spans="1:14" ht="20">
      <c r="A66" s="78" t="s">
        <v>2759</v>
      </c>
      <c r="B66" s="78" t="s">
        <v>2695</v>
      </c>
      <c r="C66" s="78" t="s">
        <v>297</v>
      </c>
      <c r="D66" s="78">
        <v>127</v>
      </c>
      <c r="E66" s="78">
        <f>Table85[[#This Row],[2018]]/C135</f>
        <v>3.6211016132435374E-4</v>
      </c>
      <c r="G66" s="16" t="s">
        <v>2793</v>
      </c>
      <c r="H66" s="17">
        <v>72129</v>
      </c>
      <c r="I66" s="80">
        <f>Table86[[#This Row],[BIDEN VOTES]]/C135</f>
        <v>0.20565861280444342</v>
      </c>
      <c r="J66" s="18">
        <v>0.35199999999999998</v>
      </c>
      <c r="K66" s="17">
        <v>130218</v>
      </c>
      <c r="L66" s="80">
        <f>Table86[[#This Row],[TRUMP VOTES]]/C135</f>
        <v>0.37128551958531258</v>
      </c>
      <c r="M66" s="18">
        <v>0.63600000000000001</v>
      </c>
      <c r="N66" s="80">
        <f>1-(Table86[[#This Row],[NbP]]+Table86[[#This Row],[NbP2]])</f>
        <v>0.42305586761024405</v>
      </c>
    </row>
    <row r="67" spans="1:14" ht="20">
      <c r="A67" s="78" t="s">
        <v>2760</v>
      </c>
      <c r="B67" s="78" t="s">
        <v>2695</v>
      </c>
      <c r="C67" s="78" t="s">
        <v>297</v>
      </c>
      <c r="D67" s="78">
        <v>14</v>
      </c>
      <c r="E67" s="78">
        <f>Table85[[#This Row],[2018]]/C136</f>
        <v>5.1702489105546936E-4</v>
      </c>
      <c r="G67" s="16" t="s">
        <v>856</v>
      </c>
      <c r="H67" s="17">
        <v>4704</v>
      </c>
      <c r="I67" s="80">
        <f>Table86[[#This Row],[BIDEN VOTES]]/C136</f>
        <v>0.1737203633946377</v>
      </c>
      <c r="J67" s="18">
        <v>0.317</v>
      </c>
      <c r="K67" s="17">
        <v>9936</v>
      </c>
      <c r="L67" s="80">
        <f>Table86[[#This Row],[TRUMP VOTES]]/C136</f>
        <v>0.36693995125193885</v>
      </c>
      <c r="M67" s="18">
        <v>0.66900000000000004</v>
      </c>
      <c r="N67" s="80">
        <f>1-(Table86[[#This Row],[NbP]]+Table86[[#This Row],[NbP2]])</f>
        <v>0.45933968535342351</v>
      </c>
    </row>
    <row r="68" spans="1:14" ht="20">
      <c r="A68" s="78" t="s">
        <v>2761</v>
      </c>
      <c r="B68" s="78" t="s">
        <v>2695</v>
      </c>
      <c r="C68" s="78" t="s">
        <v>297</v>
      </c>
      <c r="D68" s="78">
        <v>178</v>
      </c>
      <c r="E68" s="78">
        <f>Table85[[#This Row],[2018]]/C137</f>
        <v>3.9765162143565641E-4</v>
      </c>
      <c r="G68" s="16" t="s">
        <v>1703</v>
      </c>
      <c r="H68" s="17">
        <v>88114</v>
      </c>
      <c r="I68" s="80">
        <f>Table86[[#This Row],[BIDEN VOTES]]/C137</f>
        <v>0.19684648860214285</v>
      </c>
      <c r="J68" s="18">
        <v>0.36899999999999999</v>
      </c>
      <c r="K68" s="17">
        <v>146733</v>
      </c>
      <c r="L68" s="80">
        <f>Table86[[#This Row],[TRUMP VOTES]]/C137</f>
        <v>0.32780120993324813</v>
      </c>
      <c r="M68" s="18">
        <v>0.61499999999999999</v>
      </c>
      <c r="N68" s="80">
        <f>1-(Table86[[#This Row],[NbP]]+Table86[[#This Row],[NbP2]])</f>
        <v>0.47535230146460905</v>
      </c>
    </row>
    <row r="70" spans="1:14" ht="21">
      <c r="A70" s="77" t="s">
        <v>1670</v>
      </c>
      <c r="B70" s="77" t="s">
        <v>69</v>
      </c>
      <c r="C70" s="77" t="s">
        <v>54</v>
      </c>
    </row>
    <row r="71" spans="1:14" ht="21">
      <c r="A71" s="52">
        <v>31</v>
      </c>
      <c r="B71" s="53" t="s">
        <v>1144</v>
      </c>
      <c r="C71" s="54">
        <v>102627</v>
      </c>
    </row>
    <row r="72" spans="1:14" ht="21">
      <c r="A72" s="52">
        <v>2</v>
      </c>
      <c r="B72" s="53" t="s">
        <v>2763</v>
      </c>
      <c r="C72" s="54">
        <v>1218380</v>
      </c>
    </row>
    <row r="73" spans="1:14" ht="21">
      <c r="A73" s="52">
        <v>39</v>
      </c>
      <c r="B73" s="53" t="s">
        <v>335</v>
      </c>
      <c r="C73" s="54">
        <v>65356</v>
      </c>
    </row>
    <row r="74" spans="1:14" ht="21">
      <c r="A74" s="52">
        <v>21</v>
      </c>
      <c r="B74" s="53" t="s">
        <v>2651</v>
      </c>
      <c r="C74" s="54">
        <v>164781</v>
      </c>
    </row>
    <row r="75" spans="1:14" ht="21">
      <c r="A75" s="52">
        <v>45</v>
      </c>
      <c r="B75" s="53" t="s">
        <v>171</v>
      </c>
      <c r="C75" s="54">
        <v>48154</v>
      </c>
    </row>
    <row r="76" spans="1:14" ht="21">
      <c r="A76" s="52">
        <v>9</v>
      </c>
      <c r="B76" s="53" t="s">
        <v>2764</v>
      </c>
      <c r="C76" s="54">
        <v>419062</v>
      </c>
    </row>
    <row r="77" spans="1:14" ht="21">
      <c r="A77" s="52">
        <v>28</v>
      </c>
      <c r="B77" s="53" t="s">
        <v>2765</v>
      </c>
      <c r="C77" s="54">
        <v>122495</v>
      </c>
    </row>
    <row r="78" spans="1:14" ht="21">
      <c r="A78" s="52">
        <v>41</v>
      </c>
      <c r="B78" s="53" t="s">
        <v>2766</v>
      </c>
      <c r="C78" s="54">
        <v>60721</v>
      </c>
    </row>
    <row r="79" spans="1:14" ht="21">
      <c r="A79" s="52">
        <v>4</v>
      </c>
      <c r="B79" s="53" t="s">
        <v>2767</v>
      </c>
      <c r="C79" s="54">
        <v>627668</v>
      </c>
    </row>
    <row r="80" spans="1:14" ht="21">
      <c r="A80" s="52">
        <v>19</v>
      </c>
      <c r="B80" s="53" t="s">
        <v>926</v>
      </c>
      <c r="C80" s="54">
        <v>187798</v>
      </c>
    </row>
    <row r="81" spans="1:3" ht="21">
      <c r="A81" s="52">
        <v>26</v>
      </c>
      <c r="B81" s="53" t="s">
        <v>2768</v>
      </c>
      <c r="C81" s="54">
        <v>131611</v>
      </c>
    </row>
    <row r="82" spans="1:3" ht="21">
      <c r="A82" s="52">
        <v>67</v>
      </c>
      <c r="B82" s="53" t="s">
        <v>360</v>
      </c>
      <c r="C82" s="54">
        <v>4512</v>
      </c>
    </row>
    <row r="83" spans="1:3" ht="21">
      <c r="A83" s="52">
        <v>40</v>
      </c>
      <c r="B83" s="53" t="s">
        <v>2769</v>
      </c>
      <c r="C83" s="54">
        <v>63964</v>
      </c>
    </row>
    <row r="84" spans="1:3" ht="21">
      <c r="A84" s="52">
        <v>22</v>
      </c>
      <c r="B84" s="53" t="s">
        <v>2770</v>
      </c>
      <c r="C84" s="54">
        <v>162264</v>
      </c>
    </row>
    <row r="85" spans="1:3" ht="21">
      <c r="A85" s="52">
        <v>7</v>
      </c>
      <c r="B85" s="53" t="s">
        <v>181</v>
      </c>
      <c r="C85" s="54">
        <v>521980</v>
      </c>
    </row>
    <row r="86" spans="1:3" ht="21">
      <c r="A86" s="52">
        <v>56</v>
      </c>
      <c r="B86" s="53" t="s">
        <v>2771</v>
      </c>
      <c r="C86" s="54">
        <v>38633</v>
      </c>
    </row>
    <row r="87" spans="1:3" ht="21">
      <c r="A87" s="52">
        <v>36</v>
      </c>
      <c r="B87" s="53" t="s">
        <v>2772</v>
      </c>
      <c r="C87" s="54">
        <v>79466</v>
      </c>
    </row>
    <row r="88" spans="1:3" ht="21">
      <c r="A88" s="52">
        <v>57</v>
      </c>
      <c r="B88" s="53" t="s">
        <v>1405</v>
      </c>
      <c r="C88" s="54">
        <v>38549</v>
      </c>
    </row>
    <row r="89" spans="1:3" ht="21">
      <c r="A89" s="52">
        <v>38</v>
      </c>
      <c r="B89" s="53" t="s">
        <v>271</v>
      </c>
      <c r="C89" s="54">
        <v>65390</v>
      </c>
    </row>
    <row r="90" spans="1:3" ht="21">
      <c r="A90" s="52">
        <v>34</v>
      </c>
      <c r="B90" s="53" t="s">
        <v>1331</v>
      </c>
      <c r="C90" s="54">
        <v>85074</v>
      </c>
    </row>
    <row r="91" spans="1:3" ht="21">
      <c r="A91" s="52">
        <v>16</v>
      </c>
      <c r="B91" s="53" t="s">
        <v>187</v>
      </c>
      <c r="C91" s="54">
        <v>251487</v>
      </c>
    </row>
    <row r="92" spans="1:3" ht="21">
      <c r="A92" s="52">
        <v>14</v>
      </c>
      <c r="B92" s="53" t="s">
        <v>2773</v>
      </c>
      <c r="C92" s="54">
        <v>277071</v>
      </c>
    </row>
    <row r="93" spans="1:3" ht="21">
      <c r="A93" s="52">
        <v>5</v>
      </c>
      <c r="B93" s="53" t="s">
        <v>1457</v>
      </c>
      <c r="C93" s="54">
        <v>565328</v>
      </c>
    </row>
    <row r="94" spans="1:3" ht="21">
      <c r="A94" s="52">
        <v>59</v>
      </c>
      <c r="B94" s="53" t="s">
        <v>2774</v>
      </c>
      <c r="C94" s="54">
        <v>30077</v>
      </c>
    </row>
    <row r="95" spans="1:3" ht="21">
      <c r="A95" s="52">
        <v>15</v>
      </c>
      <c r="B95" s="53" t="s">
        <v>2365</v>
      </c>
      <c r="C95" s="54">
        <v>272046</v>
      </c>
    </row>
    <row r="96" spans="1:3" ht="21">
      <c r="A96" s="52">
        <v>27</v>
      </c>
      <c r="B96" s="53" t="s">
        <v>193</v>
      </c>
      <c r="C96" s="54">
        <v>130329</v>
      </c>
    </row>
    <row r="97" spans="1:3" ht="21">
      <c r="A97" s="52">
        <v>65</v>
      </c>
      <c r="B97" s="53" t="s">
        <v>2775</v>
      </c>
      <c r="C97" s="54">
        <v>7190</v>
      </c>
    </row>
    <row r="98" spans="1:3" ht="21">
      <c r="A98" s="52">
        <v>23</v>
      </c>
      <c r="B98" s="53" t="s">
        <v>195</v>
      </c>
      <c r="C98" s="54">
        <v>154954</v>
      </c>
    </row>
    <row r="99" spans="1:3" ht="21">
      <c r="A99" s="52">
        <v>64</v>
      </c>
      <c r="B99" s="53" t="s">
        <v>1343</v>
      </c>
      <c r="C99" s="54">
        <v>14492</v>
      </c>
    </row>
    <row r="100" spans="1:3" ht="21">
      <c r="A100" s="52">
        <v>58</v>
      </c>
      <c r="B100" s="53" t="s">
        <v>199</v>
      </c>
      <c r="C100" s="54">
        <v>36484</v>
      </c>
    </row>
    <row r="101" spans="1:3" ht="21">
      <c r="A101" s="52">
        <v>48</v>
      </c>
      <c r="B101" s="53" t="s">
        <v>2776</v>
      </c>
      <c r="C101" s="54">
        <v>45145</v>
      </c>
    </row>
    <row r="102" spans="1:3" ht="21">
      <c r="A102" s="52">
        <v>35</v>
      </c>
      <c r="B102" s="53" t="s">
        <v>2777</v>
      </c>
      <c r="C102" s="54">
        <v>84463</v>
      </c>
    </row>
    <row r="103" spans="1:3" ht="21">
      <c r="A103" s="52">
        <v>50</v>
      </c>
      <c r="B103" s="53" t="s">
        <v>214</v>
      </c>
      <c r="C103" s="54">
        <v>43570</v>
      </c>
    </row>
    <row r="104" spans="1:3" ht="21">
      <c r="A104" s="52">
        <v>61</v>
      </c>
      <c r="B104" s="53" t="s">
        <v>2778</v>
      </c>
      <c r="C104" s="54">
        <v>24657</v>
      </c>
    </row>
    <row r="105" spans="1:3" ht="21">
      <c r="A105" s="52">
        <v>17</v>
      </c>
      <c r="B105" s="53" t="s">
        <v>2779</v>
      </c>
      <c r="C105" s="54">
        <v>210162</v>
      </c>
    </row>
    <row r="106" spans="1:3" ht="21">
      <c r="A106" s="52">
        <v>6</v>
      </c>
      <c r="B106" s="53" t="s">
        <v>2252</v>
      </c>
      <c r="C106" s="54">
        <v>543050</v>
      </c>
    </row>
    <row r="107" spans="1:3" ht="21">
      <c r="A107" s="52">
        <v>33</v>
      </c>
      <c r="B107" s="53" t="s">
        <v>219</v>
      </c>
      <c r="C107" s="54">
        <v>86148</v>
      </c>
    </row>
    <row r="108" spans="1:3" ht="21">
      <c r="A108" s="52">
        <v>25</v>
      </c>
      <c r="B108" s="53" t="s">
        <v>2780</v>
      </c>
      <c r="C108" s="54">
        <v>140410</v>
      </c>
    </row>
    <row r="109" spans="1:3" ht="21">
      <c r="A109" s="52">
        <v>10</v>
      </c>
      <c r="B109" s="53" t="s">
        <v>2781</v>
      </c>
      <c r="C109" s="54">
        <v>367338</v>
      </c>
    </row>
    <row r="110" spans="1:3" ht="21">
      <c r="A110" s="52">
        <v>12</v>
      </c>
      <c r="B110" s="53" t="s">
        <v>2782</v>
      </c>
      <c r="C110" s="54">
        <v>317547</v>
      </c>
    </row>
    <row r="111" spans="1:3" ht="21">
      <c r="A111" s="52">
        <v>29</v>
      </c>
      <c r="B111" s="53" t="s">
        <v>2783</v>
      </c>
      <c r="C111" s="54">
        <v>114014</v>
      </c>
    </row>
    <row r="112" spans="1:3" ht="21">
      <c r="A112" s="52">
        <v>51</v>
      </c>
      <c r="B112" s="53" t="s">
        <v>2784</v>
      </c>
      <c r="C112" s="54">
        <v>41021</v>
      </c>
    </row>
    <row r="113" spans="1:3" ht="21">
      <c r="A113" s="52">
        <v>30</v>
      </c>
      <c r="B113" s="53" t="s">
        <v>794</v>
      </c>
      <c r="C113" s="54">
        <v>110519</v>
      </c>
    </row>
    <row r="114" spans="1:3" ht="21">
      <c r="A114" s="52">
        <v>46</v>
      </c>
      <c r="B114" s="53" t="s">
        <v>2785</v>
      </c>
      <c r="C114" s="54">
        <v>46179</v>
      </c>
    </row>
    <row r="115" spans="1:3" ht="21">
      <c r="A115" s="52">
        <v>20</v>
      </c>
      <c r="B115" s="53" t="s">
        <v>231</v>
      </c>
      <c r="C115" s="54">
        <v>168824</v>
      </c>
    </row>
    <row r="116" spans="1:3" ht="21">
      <c r="A116" s="52">
        <v>3</v>
      </c>
      <c r="B116" s="53" t="s">
        <v>232</v>
      </c>
      <c r="C116" s="54">
        <v>827180</v>
      </c>
    </row>
    <row r="117" spans="1:3" ht="21">
      <c r="A117" s="52">
        <v>62</v>
      </c>
      <c r="B117" s="53" t="s">
        <v>2786</v>
      </c>
      <c r="C117" s="54">
        <v>18178</v>
      </c>
    </row>
    <row r="118" spans="1:3" ht="21">
      <c r="A118" s="52">
        <v>13</v>
      </c>
      <c r="B118" s="53" t="s">
        <v>2492</v>
      </c>
      <c r="C118" s="54">
        <v>304233</v>
      </c>
    </row>
    <row r="119" spans="1:3" ht="21">
      <c r="A119" s="52">
        <v>32</v>
      </c>
      <c r="B119" s="53" t="s">
        <v>2787</v>
      </c>
      <c r="C119" s="54">
        <v>91234</v>
      </c>
    </row>
    <row r="120" spans="1:3" ht="21">
      <c r="A120" s="52">
        <v>47</v>
      </c>
      <c r="B120" s="53" t="s">
        <v>237</v>
      </c>
      <c r="C120" s="54">
        <v>46133</v>
      </c>
    </row>
    <row r="121" spans="1:3" ht="21">
      <c r="A121" s="52">
        <v>1</v>
      </c>
      <c r="B121" s="53" t="s">
        <v>2788</v>
      </c>
      <c r="C121" s="54">
        <v>1581531</v>
      </c>
    </row>
    <row r="122" spans="1:3" ht="21">
      <c r="A122" s="52">
        <v>42</v>
      </c>
      <c r="B122" s="53" t="s">
        <v>945</v>
      </c>
      <c r="C122" s="54">
        <v>55660</v>
      </c>
    </row>
    <row r="123" spans="1:3" ht="21">
      <c r="A123" s="52">
        <v>63</v>
      </c>
      <c r="B123" s="53" t="s">
        <v>497</v>
      </c>
      <c r="C123" s="54">
        <v>16685</v>
      </c>
    </row>
    <row r="124" spans="1:3" ht="21">
      <c r="A124" s="52">
        <v>24</v>
      </c>
      <c r="B124" s="53" t="s">
        <v>2789</v>
      </c>
      <c r="C124" s="54">
        <v>141935</v>
      </c>
    </row>
    <row r="125" spans="1:3" ht="21">
      <c r="A125" s="52">
        <v>54</v>
      </c>
      <c r="B125" s="53" t="s">
        <v>2790</v>
      </c>
      <c r="C125" s="54">
        <v>40452</v>
      </c>
    </row>
    <row r="126" spans="1:3" ht="21">
      <c r="A126" s="52">
        <v>37</v>
      </c>
      <c r="B126" s="53" t="s">
        <v>800</v>
      </c>
      <c r="C126" s="54">
        <v>73844</v>
      </c>
    </row>
    <row r="127" spans="1:3" ht="21">
      <c r="A127" s="52">
        <v>66</v>
      </c>
      <c r="B127" s="53" t="s">
        <v>250</v>
      </c>
      <c r="C127" s="54">
        <v>6038</v>
      </c>
    </row>
    <row r="128" spans="1:3" ht="21">
      <c r="A128" s="52">
        <v>53</v>
      </c>
      <c r="B128" s="53" t="s">
        <v>2791</v>
      </c>
      <c r="C128" s="54">
        <v>40604</v>
      </c>
    </row>
    <row r="129" spans="1:3" ht="21">
      <c r="A129" s="52">
        <v>52</v>
      </c>
      <c r="B129" s="53" t="s">
        <v>2382</v>
      </c>
      <c r="C129" s="54">
        <v>40759</v>
      </c>
    </row>
    <row r="130" spans="1:3" ht="21">
      <c r="A130" s="52">
        <v>49</v>
      </c>
      <c r="B130" s="53" t="s">
        <v>255</v>
      </c>
      <c r="C130" s="54">
        <v>44831</v>
      </c>
    </row>
    <row r="131" spans="1:3" ht="21">
      <c r="A131" s="52">
        <v>43</v>
      </c>
      <c r="B131" s="53" t="s">
        <v>2792</v>
      </c>
      <c r="C131" s="54">
        <v>51355</v>
      </c>
    </row>
    <row r="132" spans="1:3" ht="21">
      <c r="A132" s="52">
        <v>55</v>
      </c>
      <c r="B132" s="53" t="s">
        <v>257</v>
      </c>
      <c r="C132" s="54">
        <v>39466</v>
      </c>
    </row>
    <row r="133" spans="1:3" ht="21">
      <c r="A133" s="52">
        <v>18</v>
      </c>
      <c r="B133" s="53" t="s">
        <v>258</v>
      </c>
      <c r="C133" s="54">
        <v>207081</v>
      </c>
    </row>
    <row r="134" spans="1:3" ht="21">
      <c r="A134" s="52">
        <v>44</v>
      </c>
      <c r="B134" s="53" t="s">
        <v>259</v>
      </c>
      <c r="C134" s="54">
        <v>51268</v>
      </c>
    </row>
    <row r="135" spans="1:3" ht="21">
      <c r="A135" s="52">
        <v>11</v>
      </c>
      <c r="B135" s="53" t="s">
        <v>2793</v>
      </c>
      <c r="C135" s="54">
        <v>350722</v>
      </c>
    </row>
    <row r="136" spans="1:3" ht="21">
      <c r="A136" s="52">
        <v>60</v>
      </c>
      <c r="B136" s="53" t="s">
        <v>856</v>
      </c>
      <c r="C136" s="54">
        <v>27078</v>
      </c>
    </row>
    <row r="137" spans="1:3" ht="21">
      <c r="A137" s="52">
        <v>8</v>
      </c>
      <c r="B137" s="53" t="s">
        <v>1703</v>
      </c>
      <c r="C137" s="54">
        <v>447628</v>
      </c>
    </row>
  </sheetData>
  <hyperlinks>
    <hyperlink ref="B121" r:id="rId1" display="https://www.pennsylvania-demographics.com/philadelphia-county-demographics" xr:uid="{B3EF3746-75A8-5C47-B3F4-F2DB30634253}"/>
    <hyperlink ref="B72" r:id="rId2" display="https://www.pennsylvania-demographics.com/allegheny-county-demographics" xr:uid="{BD709B56-959F-5C4B-A369-02A48D64F906}"/>
    <hyperlink ref="B116" r:id="rId3" display="https://www.pennsylvania-demographics.com/montgomery-county-demographics" xr:uid="{C65BB090-1418-674C-AA80-061ABCC478D3}"/>
    <hyperlink ref="B79" r:id="rId4" display="https://www.pennsylvania-demographics.com/bucks-county-demographics" xr:uid="{3BC91D9C-275C-9E48-AE2D-E902087ADF30}"/>
    <hyperlink ref="B93" r:id="rId5" display="https://www.pennsylvania-demographics.com/delaware-county-demographics" xr:uid="{01C4A795-34C1-6C47-91DF-0E44BD71ED7C}"/>
    <hyperlink ref="B106" r:id="rId6" display="https://www.pennsylvania-demographics.com/lancaster-county-demographics" xr:uid="{050F7CDD-0F23-3145-9A5C-EF16282FE43A}"/>
    <hyperlink ref="B85" r:id="rId7" display="https://www.pennsylvania-demographics.com/chester-county-demographics" xr:uid="{5FD59FBA-C274-624B-AA7E-444B29182F2F}"/>
    <hyperlink ref="B137" r:id="rId8" display="https://www.pennsylvania-demographics.com/york-county-demographics" xr:uid="{74A786A6-BE27-DA4D-BDD0-BB248D38E02E}"/>
    <hyperlink ref="B76" r:id="rId9" display="https://www.pennsylvania-demographics.com/berks-county-demographics" xr:uid="{C3F43F94-D0A8-7145-9958-BC744594EFB5}"/>
    <hyperlink ref="B109" r:id="rId10" display="https://www.pennsylvania-demographics.com/lehigh-county-demographics" xr:uid="{D8FBA486-E334-714C-A6F6-980E09EB5D01}"/>
    <hyperlink ref="B135" r:id="rId11" display="https://www.pennsylvania-demographics.com/westmoreland-county-demographics" xr:uid="{546D76EB-37DD-D74A-92A9-12D77EFFE22C}"/>
    <hyperlink ref="B110" r:id="rId12" display="https://www.pennsylvania-demographics.com/luzerne-county-demographics" xr:uid="{1CEBA5BC-B8BF-E74F-BB4F-0B1458649063}"/>
    <hyperlink ref="B118" r:id="rId13" display="https://www.pennsylvania-demographics.com/northampton-county-demographics" xr:uid="{D0227E51-0167-C149-A0AA-0F6D5584A130}"/>
    <hyperlink ref="B92" r:id="rId14" display="https://www.pennsylvania-demographics.com/dauphin-county-demographics" xr:uid="{CF15215E-279F-1F43-A384-2F37E22807A0}"/>
    <hyperlink ref="B95" r:id="rId15" display="https://www.pennsylvania-demographics.com/erie-county-demographics" xr:uid="{20F72FA4-F708-E745-BAED-832ED3CCF9DA}"/>
    <hyperlink ref="B91" r:id="rId16" display="https://www.pennsylvania-demographics.com/cumberland-county-demographics" xr:uid="{0B4C9A64-F791-DB44-AA81-E6B9439B08A5}"/>
    <hyperlink ref="B105" r:id="rId17" display="https://www.pennsylvania-demographics.com/lackawanna-county-demographics" xr:uid="{A29492D0-71D5-A140-AB91-1375C144B5AD}"/>
    <hyperlink ref="B133" r:id="rId18" display="https://www.pennsylvania-demographics.com/washington-county-demographics" xr:uid="{27BBB349-BDEB-2E4D-8E0F-51DCDE74232E}"/>
    <hyperlink ref="B80" r:id="rId19" display="https://www.pennsylvania-demographics.com/butler-county-demographics" xr:uid="{84D0D243-970C-0D40-A42B-5D5C77706635}"/>
    <hyperlink ref="B115" r:id="rId20" display="https://www.pennsylvania-demographics.com/monroe-county-demographics" xr:uid="{89D249A1-D342-7342-96E4-61FE6D1D71C5}"/>
    <hyperlink ref="B74" r:id="rId21" display="https://www.pennsylvania-demographics.com/beaver-county-demographics" xr:uid="{0FA06A87-BF20-054F-9AAF-1F28A7E5565D}"/>
    <hyperlink ref="B84" r:id="rId22" display="https://www.pennsylvania-demographics.com/centre-county-demographics" xr:uid="{D5EB8012-7C16-064D-9A96-441F19E35077}"/>
    <hyperlink ref="B98" r:id="rId23" display="https://www.pennsylvania-demographics.com/franklin-county-demographics" xr:uid="{7E088310-0F0C-E445-A048-F7B5D2C36B81}"/>
    <hyperlink ref="B124" r:id="rId24" display="https://www.pennsylvania-demographics.com/schuylkill-county-demographics" xr:uid="{5B1A76B1-5E7F-BA4B-ABA0-BDA9618A36AE}"/>
    <hyperlink ref="B108" r:id="rId25" display="https://www.pennsylvania-demographics.com/lebanon-county-demographics" xr:uid="{BDC419AE-2F8A-4D4F-A0AD-FC8B57779BA8}"/>
    <hyperlink ref="B81" r:id="rId26" display="https://www.pennsylvania-demographics.com/cambria-county-demographics" xr:uid="{F12C5A1A-A3A9-D240-B673-ECE783D45C75}"/>
    <hyperlink ref="B96" r:id="rId27" display="https://www.pennsylvania-demographics.com/fayette-county-demographics" xr:uid="{73A461E6-2031-584B-AA84-04474B7963B5}"/>
    <hyperlink ref="B77" r:id="rId28" display="https://www.pennsylvania-demographics.com/blair-county-demographics" xr:uid="{DEDEC5A0-BA34-DE41-9D6C-97BC91799E5E}"/>
    <hyperlink ref="B111" r:id="rId29" display="https://www.pennsylvania-demographics.com/lycoming-county-demographics" xr:uid="{445BAE87-16AE-DC4E-9FE2-3A7D95496F6E}"/>
    <hyperlink ref="B113" r:id="rId30" display="https://www.pennsylvania-demographics.com/mercer-county-demographics" xr:uid="{CE132B1C-777E-0348-9E19-B54F5D437976}"/>
    <hyperlink ref="B71" r:id="rId31" display="https://www.pennsylvania-demographics.com/adams-county-demographics" xr:uid="{17CD9B1E-9509-3A4A-8D69-8AE7BA5C3B41}"/>
    <hyperlink ref="B119" r:id="rId32" display="https://www.pennsylvania-demographics.com/northumberland-county-demographics" xr:uid="{16CE105E-3539-9A40-B878-147E0FCC6F26}"/>
    <hyperlink ref="B107" r:id="rId33" display="https://www.pennsylvania-demographics.com/lawrence-county-demographics" xr:uid="{874AADD1-D6CC-0145-8FEB-5B9ECBCA3AF0}"/>
    <hyperlink ref="B90" r:id="rId34" display="https://www.pennsylvania-demographics.com/crawford-county-demographics" xr:uid="{0F250786-DDE5-1B43-89CD-82D0519E019B}"/>
    <hyperlink ref="B102" r:id="rId35" display="https://www.pennsylvania-demographics.com/indiana-county-demographics" xr:uid="{787C5FD1-4144-CD4C-B8DC-57EC0050DB31}"/>
    <hyperlink ref="B87" r:id="rId36" display="https://www.pennsylvania-demographics.com/clearfield-county-demographics" xr:uid="{957844AD-A9D2-7F4A-AADC-ABA596B3EABB}"/>
    <hyperlink ref="B126" r:id="rId37" display="https://www.pennsylvania-demographics.com/somerset-county-demographics" xr:uid="{9CF06216-6A4E-7848-B35A-73B70E64943D}"/>
    <hyperlink ref="B89" r:id="rId38" display="https://www.pennsylvania-demographics.com/columbia-county-demographics" xr:uid="{627C77D3-5840-1C40-AA25-13BD44DF724C}"/>
    <hyperlink ref="B73" r:id="rId39" display="https://www.pennsylvania-demographics.com/armstrong-county-demographics" xr:uid="{074BC523-1656-264F-8DFD-6FDB8F7088B0}"/>
    <hyperlink ref="B83" r:id="rId40" display="https://www.pennsylvania-demographics.com/carbon-county-demographics" xr:uid="{1AFECE96-C1C8-7548-AC88-A4BE9A460AAD}"/>
    <hyperlink ref="B78" r:id="rId41" display="https://www.pennsylvania-demographics.com/bradford-county-demographics" xr:uid="{3665E622-CB3D-F147-8750-8E51BD2EC73A}"/>
    <hyperlink ref="B122" r:id="rId42" display="https://www.pennsylvania-demographics.com/pike-county-demographics" xr:uid="{4679967D-5804-0446-9B17-D959491B77E5}"/>
    <hyperlink ref="B131" r:id="rId43" display="https://www.pennsylvania-demographics.com/venango-county-demographics" xr:uid="{C8F166E8-BE1F-CC49-9FAB-2BB664F4E8D4}"/>
    <hyperlink ref="B134" r:id="rId44" display="https://www.pennsylvania-demographics.com/wayne-county-demographics" xr:uid="{1C26E1FB-967C-EF4C-ABA2-288F9D5BCEE6}"/>
    <hyperlink ref="B75" r:id="rId45" display="https://www.pennsylvania-demographics.com/bedford-county-demographics" xr:uid="{A1208C12-B654-964B-B654-AA5324D63371}"/>
    <hyperlink ref="B114" r:id="rId46" display="https://www.pennsylvania-demographics.com/mifflin-county-demographics" xr:uid="{430A714B-74A5-DB4E-ADD3-62827ECBA13B}"/>
    <hyperlink ref="B120" r:id="rId47" display="https://www.pennsylvania-demographics.com/perry-county-demographics" xr:uid="{27C9A432-CA56-2B4B-B9C0-C70FABD08BB2}"/>
    <hyperlink ref="B101" r:id="rId48" display="https://www.pennsylvania-demographics.com/huntingdon-county-demographics" xr:uid="{38DAAC9B-BF36-364B-84D0-B76D19ADEB9F}"/>
    <hyperlink ref="B130" r:id="rId49" display="https://www.pennsylvania-demographics.com/union-county-demographics" xr:uid="{941FF09B-6E71-3048-BAEB-A4D164D6D312}"/>
    <hyperlink ref="B103" r:id="rId50" display="https://www.pennsylvania-demographics.com/jefferson-county-demographics" xr:uid="{DCBA8ACE-7D39-484C-BAB1-A27B37A752BA}"/>
    <hyperlink ref="B112" r:id="rId51" display="https://www.pennsylvania-demographics.com/mckean-county-demographics" xr:uid="{08E9027E-E6D9-4F4D-AAC2-3D679C9DEF6F}"/>
    <hyperlink ref="B129" r:id="rId52" display="https://www.pennsylvania-demographics.com/tioga-county-demographics" xr:uid="{8EF58D35-CF4E-154D-9C50-6E26C77DBAB9}"/>
    <hyperlink ref="B128" r:id="rId53" display="https://www.pennsylvania-demographics.com/susquehanna-county-demographics" xr:uid="{1BCC005F-2CB7-AD45-B4EF-47B50CC459CF}"/>
    <hyperlink ref="B125" r:id="rId54" display="https://www.pennsylvania-demographics.com/snyder-county-demographics" xr:uid="{B2703960-BE5E-AC47-8076-E5DABE198955}"/>
    <hyperlink ref="B132" r:id="rId55" display="https://www.pennsylvania-demographics.com/warren-county-demographics" xr:uid="{280F76A0-DD95-D845-87C0-774082F38734}"/>
    <hyperlink ref="B86" r:id="rId56" display="https://www.pennsylvania-demographics.com/clarion-county-demographics" xr:uid="{55D9594B-FE6B-904E-AB1E-23EE716FD1CD}"/>
    <hyperlink ref="B88" r:id="rId57" display="https://www.pennsylvania-demographics.com/clinton-county-demographics" xr:uid="{29445FD3-6DBC-6C4B-BB02-DC2E792EB517}"/>
    <hyperlink ref="B100" r:id="rId58" display="https://www.pennsylvania-demographics.com/greene-county-demographics" xr:uid="{698B1C16-2BF7-7043-BABF-D5E304FF206A}"/>
    <hyperlink ref="B94" r:id="rId59" display="https://www.pennsylvania-demographics.com/elk-county-demographics" xr:uid="{B3E3CE7B-0FD3-B34F-86D7-6CD62D5711FE}"/>
    <hyperlink ref="B136" r:id="rId60" display="https://www.pennsylvania-demographics.com/wyoming-county-demographics" xr:uid="{F5F6F31F-F6ED-F542-A28C-6B6793FF47FD}"/>
    <hyperlink ref="B104" r:id="rId61" display="https://www.pennsylvania-demographics.com/juniata-county-demographics" xr:uid="{668F5CD2-B436-9545-9BE9-CDEBDB0B263D}"/>
    <hyperlink ref="B117" r:id="rId62" display="https://www.pennsylvania-demographics.com/montour-county-demographics" xr:uid="{E074F23C-38A5-014F-B245-FDEC74941D6A}"/>
    <hyperlink ref="B123" r:id="rId63" display="https://www.pennsylvania-demographics.com/potter-county-demographics" xr:uid="{DF2F2788-2943-5742-89D3-F182842B9388}"/>
    <hyperlink ref="B99" r:id="rId64" display="https://www.pennsylvania-demographics.com/fulton-county-demographics" xr:uid="{9166804C-9544-034A-BA71-BFA69F842563}"/>
    <hyperlink ref="B97" r:id="rId65" display="https://www.pennsylvania-demographics.com/forest-county-demographics" xr:uid="{DA7895D8-EA67-E344-8701-84B5B91790BB}"/>
    <hyperlink ref="B127" r:id="rId66" display="https://www.pennsylvania-demographics.com/sullivan-county-demographics" xr:uid="{B9468F8F-821E-DE43-AB6F-4E44FB890F4E}"/>
    <hyperlink ref="B82" r:id="rId67" display="https://www.pennsylvania-demographics.com/cameron-county-demographics" xr:uid="{AFBD603B-F15A-7C46-9354-E7495297AF46}"/>
  </hyperlinks>
  <pageMargins left="0.7" right="0.7" top="0.75" bottom="0.75" header="0.3" footer="0.3"/>
  <tableParts count="3">
    <tablePart r:id="rId68"/>
    <tablePart r:id="rId69"/>
    <tablePart r:id="rId70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8420-635A-6A49-A35C-71FE0B401B4B}">
  <dimension ref="A1:Q95"/>
  <sheetViews>
    <sheetView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22.66406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</cols>
  <sheetData>
    <row r="1" spans="1:17" ht="21">
      <c r="A1" s="95" t="s">
        <v>64</v>
      </c>
      <c r="B1" s="95" t="s">
        <v>1674</v>
      </c>
      <c r="C1" s="95" t="s">
        <v>2794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2795</v>
      </c>
      <c r="B2" s="78" t="s">
        <v>297</v>
      </c>
      <c r="C2" s="78">
        <v>19</v>
      </c>
      <c r="D2" s="78">
        <f>Table88[[#This Row],[SFY2019 - 2020]]/C50</f>
        <v>7.7292327719469527E-4</v>
      </c>
      <c r="F2" s="16" t="s">
        <v>2822</v>
      </c>
      <c r="G2" s="17">
        <v>8215</v>
      </c>
      <c r="H2" s="80">
        <f>Table89[[#This Row],[TRUMP VOTES]]/C50</f>
        <v>0.33418761695549587</v>
      </c>
      <c r="I2" s="18">
        <v>0.66100000000000003</v>
      </c>
      <c r="J2" s="17">
        <v>4101</v>
      </c>
      <c r="K2" s="80">
        <f>Table89[[#This Row],[BIDEN VOTES]]/C50</f>
        <v>0.16682938735660238</v>
      </c>
      <c r="L2" s="18">
        <v>0.33</v>
      </c>
      <c r="M2" s="80">
        <f>1-(Table89[[#This Row],[NbP2]]+Table89[[#This Row],[NbP]])</f>
        <v>0.49898299568790172</v>
      </c>
      <c r="O2" t="s">
        <v>1671</v>
      </c>
      <c r="P2" s="37">
        <f>CORREL(D:D,H:H)</f>
        <v>-0.11817137761131512</v>
      </c>
    </row>
    <row r="3" spans="1:17" ht="20">
      <c r="A3" s="78" t="s">
        <v>2796</v>
      </c>
      <c r="B3" s="78" t="s">
        <v>297</v>
      </c>
      <c r="C3" s="78">
        <v>298</v>
      </c>
      <c r="D3" s="78">
        <f>Table88[[#This Row],[SFY2019 - 2020]]/C51</f>
        <v>1.7534878520950648E-3</v>
      </c>
      <c r="F3" s="16" t="s">
        <v>2823</v>
      </c>
      <c r="G3" s="17">
        <v>51589</v>
      </c>
      <c r="H3" s="80">
        <f>Table89[[#This Row],[TRUMP VOTES]]/C51</f>
        <v>0.30355934497225606</v>
      </c>
      <c r="I3" s="18">
        <v>0.60599999999999998</v>
      </c>
      <c r="J3" s="17">
        <v>32275</v>
      </c>
      <c r="K3" s="80">
        <f>Table89[[#This Row],[BIDEN VOTES]]/C51</f>
        <v>0.18991214908177256</v>
      </c>
      <c r="L3" s="18">
        <v>0.379</v>
      </c>
      <c r="M3" s="80">
        <f>1-(Table89[[#This Row],[NbP2]]+Table89[[#This Row],[NbP]])</f>
        <v>0.50652850594597143</v>
      </c>
      <c r="O3" t="s">
        <v>1672</v>
      </c>
      <c r="P3" s="37">
        <f>CORREL(D:D,K:K)</f>
        <v>-1.6801046970265705E-2</v>
      </c>
    </row>
    <row r="4" spans="1:17" ht="20">
      <c r="A4" s="78" t="s">
        <v>2797</v>
      </c>
      <c r="B4" s="78" t="s">
        <v>297</v>
      </c>
      <c r="C4" s="78">
        <v>11</v>
      </c>
      <c r="D4" s="78">
        <f>Table88[[#This Row],[SFY2019 - 2020]]/C52</f>
        <v>1.2515644555694619E-3</v>
      </c>
      <c r="F4" s="16" t="s">
        <v>2824</v>
      </c>
      <c r="G4" s="19">
        <v>835</v>
      </c>
      <c r="H4" s="80">
        <f>Table89[[#This Row],[TRUMP VOTES]]/C52</f>
        <v>9.5005120036409152E-2</v>
      </c>
      <c r="I4" s="18">
        <v>0.23200000000000001</v>
      </c>
      <c r="J4" s="17">
        <v>2718</v>
      </c>
      <c r="K4" s="80">
        <f>Table89[[#This Row],[BIDEN VOTES]]/C52</f>
        <v>0.30925019911252705</v>
      </c>
      <c r="L4" s="18">
        <v>0.75600000000000001</v>
      </c>
      <c r="M4" s="80">
        <f>1-(Table89[[#This Row],[NbP2]]+Table89[[#This Row],[NbP]])</f>
        <v>0.5957446808510638</v>
      </c>
      <c r="O4" t="s">
        <v>1679</v>
      </c>
      <c r="P4" s="37">
        <f>CORREL(D:D,M:M)</f>
        <v>0.21290398843430161</v>
      </c>
    </row>
    <row r="5" spans="1:17" ht="20">
      <c r="A5" s="78" t="s">
        <v>70</v>
      </c>
      <c r="B5" s="78" t="s">
        <v>297</v>
      </c>
      <c r="C5" s="78">
        <v>456</v>
      </c>
      <c r="D5" s="78">
        <f>Table88[[#This Row],[SFY2019 - 2020]]/C53</f>
        <v>2.2779157071279778E-3</v>
      </c>
      <c r="F5" s="16" t="s">
        <v>170</v>
      </c>
      <c r="G5" s="17">
        <v>67565</v>
      </c>
      <c r="H5" s="80">
        <f>Table89[[#This Row],[TRUMP VOTES]]/C53</f>
        <v>0.3375161727019777</v>
      </c>
      <c r="I5" s="18">
        <v>0.70299999999999996</v>
      </c>
      <c r="J5" s="17">
        <v>27169</v>
      </c>
      <c r="K5" s="80">
        <f>Table89[[#This Row],[BIDEN VOTES]]/C53</f>
        <v>0.13572081545385972</v>
      </c>
      <c r="L5" s="18">
        <v>0.28299999999999997</v>
      </c>
      <c r="M5" s="80">
        <f>1-(Table89[[#This Row],[NbP2]]+Table89[[#This Row],[NbP]])</f>
        <v>0.52676301184416263</v>
      </c>
    </row>
    <row r="6" spans="1:17" ht="20">
      <c r="A6" s="78" t="s">
        <v>2798</v>
      </c>
      <c r="B6" s="78" t="s">
        <v>297</v>
      </c>
      <c r="C6" s="78">
        <v>25</v>
      </c>
      <c r="D6" s="78">
        <f>Table88[[#This Row],[SFY2019 - 2020]]/C54</f>
        <v>1.7561112672098904E-3</v>
      </c>
      <c r="F6" s="16" t="s">
        <v>2825</v>
      </c>
      <c r="G6" s="17">
        <v>2417</v>
      </c>
      <c r="H6" s="80">
        <f>Table89[[#This Row],[TRUMP VOTES]]/C54</f>
        <v>0.16978083731385221</v>
      </c>
      <c r="I6" s="18">
        <v>0.373</v>
      </c>
      <c r="J6" s="17">
        <v>4010</v>
      </c>
      <c r="K6" s="80">
        <f>Table89[[#This Row],[BIDEN VOTES]]/C54</f>
        <v>0.28168024726046642</v>
      </c>
      <c r="L6" s="18">
        <v>0.61899999999999999</v>
      </c>
      <c r="M6" s="80">
        <f>1-(Table89[[#This Row],[NbP2]]+Table89[[#This Row],[NbP]])</f>
        <v>0.54853891542568134</v>
      </c>
    </row>
    <row r="7" spans="1:17" ht="20">
      <c r="A7" s="78" t="s">
        <v>2799</v>
      </c>
      <c r="B7" s="78" t="s">
        <v>297</v>
      </c>
      <c r="C7" s="78">
        <v>29</v>
      </c>
      <c r="D7" s="78">
        <f>Table88[[#This Row],[SFY2019 - 2020]]/C55</f>
        <v>1.3698630136986301E-3</v>
      </c>
      <c r="F7" s="16" t="s">
        <v>2826</v>
      </c>
      <c r="G7" s="17">
        <v>5492</v>
      </c>
      <c r="H7" s="80">
        <f>Table89[[#This Row],[TRUMP VOTES]]/C55</f>
        <v>0.25942371280113369</v>
      </c>
      <c r="I7" s="18">
        <v>0.53200000000000003</v>
      </c>
      <c r="J7" s="17">
        <v>4720</v>
      </c>
      <c r="K7" s="80">
        <f>Table89[[#This Row],[BIDEN VOTES]]/C55</f>
        <v>0.22295701464336326</v>
      </c>
      <c r="L7" s="18">
        <v>0.45700000000000002</v>
      </c>
      <c r="M7" s="80">
        <f>1-(Table89[[#This Row],[NbP2]]+Table89[[#This Row],[NbP]])</f>
        <v>0.51761927255550311</v>
      </c>
    </row>
    <row r="8" spans="1:17" ht="20">
      <c r="A8" s="78" t="s">
        <v>2397</v>
      </c>
      <c r="B8" s="78" t="s">
        <v>297</v>
      </c>
      <c r="C8" s="78">
        <v>105</v>
      </c>
      <c r="D8" s="78">
        <f>Table88[[#This Row],[SFY2019 - 2020]]/C56</f>
        <v>5.5341218139270129E-4</v>
      </c>
      <c r="F8" s="16" t="s">
        <v>2458</v>
      </c>
      <c r="G8" s="17">
        <v>53194</v>
      </c>
      <c r="H8" s="80">
        <f>Table89[[#This Row],[TRUMP VOTES]]/C56</f>
        <v>0.28036388168574622</v>
      </c>
      <c r="I8" s="18">
        <v>0.54400000000000004</v>
      </c>
      <c r="J8" s="17">
        <v>43419</v>
      </c>
      <c r="K8" s="80">
        <f>Table89[[#This Row],[BIDEN VOTES]]/C56</f>
        <v>0.2288438428941876</v>
      </c>
      <c r="L8" s="18">
        <v>0.44400000000000001</v>
      </c>
      <c r="M8" s="80">
        <f>1-(Table89[[#This Row],[NbP2]]+Table89[[#This Row],[NbP]])</f>
        <v>0.4907922754200662</v>
      </c>
    </row>
    <row r="9" spans="1:17" ht="20">
      <c r="A9" s="78" t="s">
        <v>858</v>
      </c>
      <c r="B9" s="78" t="s">
        <v>297</v>
      </c>
      <c r="C9" s="78">
        <v>313</v>
      </c>
      <c r="D9" s="78">
        <f>Table88[[#This Row],[SFY2019 - 2020]]/C57</f>
        <v>1.4092560658793443E-3</v>
      </c>
      <c r="F9" s="16" t="s">
        <v>826</v>
      </c>
      <c r="G9" s="17">
        <v>57397</v>
      </c>
      <c r="H9" s="80">
        <f>Table89[[#This Row],[TRUMP VOTES]]/C57</f>
        <v>0.25842514509034098</v>
      </c>
      <c r="I9" s="18">
        <v>0.54900000000000004</v>
      </c>
      <c r="J9" s="17">
        <v>45223</v>
      </c>
      <c r="K9" s="80">
        <f>Table89[[#This Row],[BIDEN VOTES]]/C57</f>
        <v>0.20361273823406256</v>
      </c>
      <c r="L9" s="18">
        <v>0.433</v>
      </c>
      <c r="M9" s="80">
        <f>1-(Table89[[#This Row],[NbP2]]+Table89[[#This Row],[NbP]])</f>
        <v>0.53796211667559646</v>
      </c>
    </row>
    <row r="10" spans="1:17" ht="20">
      <c r="A10" s="78" t="s">
        <v>586</v>
      </c>
      <c r="B10" s="78" t="s">
        <v>297</v>
      </c>
      <c r="C10" s="78">
        <v>22</v>
      </c>
      <c r="D10" s="78">
        <f>Table88[[#This Row],[SFY2019 - 2020]]/C58</f>
        <v>1.5060240963855422E-3</v>
      </c>
      <c r="F10" s="16" t="s">
        <v>358</v>
      </c>
      <c r="G10" s="17">
        <v>4305</v>
      </c>
      <c r="H10" s="80">
        <f>Table89[[#This Row],[TRUMP VOTES]]/C58</f>
        <v>0.29470153340635269</v>
      </c>
      <c r="I10" s="18">
        <v>0.51900000000000002</v>
      </c>
      <c r="J10" s="17">
        <v>3905</v>
      </c>
      <c r="K10" s="80">
        <f>Table89[[#This Row],[BIDEN VOTES]]/C58</f>
        <v>0.26731927710843373</v>
      </c>
      <c r="L10" s="18">
        <v>0.47099999999999997</v>
      </c>
      <c r="M10" s="80">
        <f>1-(Table89[[#This Row],[NbP2]]+Table89[[#This Row],[NbP]])</f>
        <v>0.43797918948521364</v>
      </c>
    </row>
    <row r="11" spans="1:17" ht="20">
      <c r="A11" s="78" t="s">
        <v>2800</v>
      </c>
      <c r="B11" s="78" t="s">
        <v>297</v>
      </c>
      <c r="C11" s="78">
        <v>661</v>
      </c>
      <c r="D11" s="78">
        <f>Table88[[#This Row],[SFY2019 - 2020]]/C59</f>
        <v>1.6219147427388031E-3</v>
      </c>
      <c r="F11" s="16" t="s">
        <v>2827</v>
      </c>
      <c r="G11" s="17">
        <v>93297</v>
      </c>
      <c r="H11" s="80">
        <f>Table89[[#This Row],[TRUMP VOTES]]/C59</f>
        <v>0.22892553669183374</v>
      </c>
      <c r="I11" s="18">
        <v>0.42599999999999999</v>
      </c>
      <c r="J11" s="17">
        <v>121485</v>
      </c>
      <c r="K11" s="80">
        <f>Table89[[#This Row],[BIDEN VOTES]]/C59</f>
        <v>0.29809124435949091</v>
      </c>
      <c r="L11" s="18">
        <v>0.55500000000000005</v>
      </c>
      <c r="M11" s="80">
        <f>1-(Table89[[#This Row],[NbP2]]+Table89[[#This Row],[NbP]])</f>
        <v>0.47298321894867534</v>
      </c>
    </row>
    <row r="12" spans="1:17" ht="20">
      <c r="A12" s="78" t="s">
        <v>594</v>
      </c>
      <c r="B12" s="78" t="s">
        <v>297</v>
      </c>
      <c r="C12" s="78">
        <v>192</v>
      </c>
      <c r="D12" s="78">
        <f>Table88[[#This Row],[SFY2019 - 2020]]/C60</f>
        <v>3.3619331115391348E-3</v>
      </c>
      <c r="F12" s="16" t="s">
        <v>366</v>
      </c>
      <c r="G12" s="17">
        <v>18043</v>
      </c>
      <c r="H12" s="80">
        <f>Table89[[#This Row],[TRUMP VOTES]]/C60</f>
        <v>0.31593416214323233</v>
      </c>
      <c r="I12" s="18">
        <v>0.71399999999999997</v>
      </c>
      <c r="J12" s="17">
        <v>6983</v>
      </c>
      <c r="K12" s="80">
        <f>Table89[[#This Row],[BIDEN VOTES]]/C60</f>
        <v>0.12227280686394677</v>
      </c>
      <c r="L12" s="18">
        <v>0.27600000000000002</v>
      </c>
      <c r="M12" s="80">
        <f>1-(Table89[[#This Row],[NbP2]]+Table89[[#This Row],[NbP]])</f>
        <v>0.56179303099282096</v>
      </c>
    </row>
    <row r="13" spans="1:17" ht="20">
      <c r="A13" s="78" t="s">
        <v>82</v>
      </c>
      <c r="B13" s="78" t="s">
        <v>297</v>
      </c>
      <c r="C13" s="78">
        <v>108</v>
      </c>
      <c r="D13" s="78">
        <f>Table88[[#This Row],[SFY2019 - 2020]]/C61</f>
        <v>3.347799132052077E-3</v>
      </c>
      <c r="F13" s="16" t="s">
        <v>181</v>
      </c>
      <c r="G13" s="17">
        <v>8660</v>
      </c>
      <c r="H13" s="80">
        <f>Table89[[#This Row],[TRUMP VOTES]]/C61</f>
        <v>0.26844389336639801</v>
      </c>
      <c r="I13" s="18">
        <v>0.55000000000000004</v>
      </c>
      <c r="J13" s="17">
        <v>6941</v>
      </c>
      <c r="K13" s="80">
        <f>Table89[[#This Row],[BIDEN VOTES]]/C61</f>
        <v>0.21515809051456913</v>
      </c>
      <c r="L13" s="18">
        <v>0.441</v>
      </c>
      <c r="M13" s="80">
        <f>1-(Table89[[#This Row],[NbP2]]+Table89[[#This Row],[NbP]])</f>
        <v>0.51639801611903291</v>
      </c>
    </row>
    <row r="14" spans="1:17" ht="20">
      <c r="A14" s="78" t="s">
        <v>2801</v>
      </c>
      <c r="B14" s="78" t="s">
        <v>297</v>
      </c>
      <c r="C14" s="78">
        <v>115</v>
      </c>
      <c r="D14" s="78">
        <f>Table88[[#This Row],[SFY2019 - 2020]]/C62</f>
        <v>2.5091091571575064E-3</v>
      </c>
      <c r="F14" s="16" t="s">
        <v>2828</v>
      </c>
      <c r="G14" s="17">
        <v>11297</v>
      </c>
      <c r="H14" s="80">
        <f>Table89[[#This Row],[TRUMP VOTES]]/C62</f>
        <v>0.24648179259485523</v>
      </c>
      <c r="I14" s="18">
        <v>0.59799999999999998</v>
      </c>
      <c r="J14" s="17">
        <v>7431</v>
      </c>
      <c r="K14" s="80">
        <f>Table89[[#This Row],[BIDEN VOTES]]/C62</f>
        <v>0.16213208823336897</v>
      </c>
      <c r="L14" s="18">
        <v>0.39400000000000002</v>
      </c>
      <c r="M14" s="80">
        <f>1-(Table89[[#This Row],[NbP2]]+Table89[[#This Row],[NbP]])</f>
        <v>0.59138611917177575</v>
      </c>
    </row>
    <row r="15" spans="1:17" ht="20">
      <c r="A15" s="78" t="s">
        <v>2802</v>
      </c>
      <c r="B15" s="78" t="s">
        <v>297</v>
      </c>
      <c r="C15" s="78">
        <v>62</v>
      </c>
      <c r="D15" s="78">
        <f>Table88[[#This Row],[SFY2019 - 2020]]/C63</f>
        <v>1.8307987597814854E-3</v>
      </c>
      <c r="F15" s="16" t="s">
        <v>2829</v>
      </c>
      <c r="G15" s="17">
        <v>8361</v>
      </c>
      <c r="H15" s="80">
        <f>Table89[[#This Row],[TRUMP VOTES]]/C63</f>
        <v>0.24689207146020967</v>
      </c>
      <c r="I15" s="18">
        <v>0.5</v>
      </c>
      <c r="J15" s="17">
        <v>8250</v>
      </c>
      <c r="K15" s="80">
        <f>Table89[[#This Row],[BIDEN VOTES]]/C63</f>
        <v>0.24361435109995572</v>
      </c>
      <c r="L15" s="18">
        <v>0.49299999999999999</v>
      </c>
      <c r="M15" s="80">
        <f>1-(Table89[[#This Row],[NbP2]]+Table89[[#This Row],[NbP]])</f>
        <v>0.50949357743983459</v>
      </c>
    </row>
    <row r="16" spans="1:17" ht="20">
      <c r="A16" s="78" t="s">
        <v>2803</v>
      </c>
      <c r="B16" s="78" t="s">
        <v>297</v>
      </c>
      <c r="C16" s="78">
        <v>132</v>
      </c>
      <c r="D16" s="78">
        <f>Table88[[#This Row],[SFY2019 - 2020]]/C64</f>
        <v>3.5083988943227728E-3</v>
      </c>
      <c r="F16" s="16" t="s">
        <v>2830</v>
      </c>
      <c r="G16" s="17">
        <v>10440</v>
      </c>
      <c r="H16" s="80">
        <f>Table89[[#This Row],[TRUMP VOTES]]/C64</f>
        <v>0.2774824580055284</v>
      </c>
      <c r="I16" s="18">
        <v>0.54100000000000004</v>
      </c>
      <c r="J16" s="17">
        <v>8602</v>
      </c>
      <c r="K16" s="80">
        <f>Table89[[#This Row],[BIDEN VOTES]]/C64</f>
        <v>0.22863066128003401</v>
      </c>
      <c r="L16" s="18">
        <v>0.44600000000000001</v>
      </c>
      <c r="M16" s="80">
        <f>1-(Table89[[#This Row],[NbP2]]+Table89[[#This Row],[NbP]])</f>
        <v>0.49388688071443765</v>
      </c>
    </row>
    <row r="17" spans="1:13" ht="20">
      <c r="A17" s="78" t="s">
        <v>2804</v>
      </c>
      <c r="B17" s="78" t="s">
        <v>297</v>
      </c>
      <c r="C17" s="78">
        <v>167</v>
      </c>
      <c r="D17" s="78">
        <f>Table88[[#This Row],[SFY2019 - 2020]]/C65</f>
        <v>2.4978312243860122E-3</v>
      </c>
      <c r="F17" s="16" t="s">
        <v>2831</v>
      </c>
      <c r="G17" s="17">
        <v>16832</v>
      </c>
      <c r="H17" s="80">
        <f>Table89[[#This Row],[TRUMP VOTES]]/C65</f>
        <v>0.25175745610099015</v>
      </c>
      <c r="I17" s="18">
        <v>0.51900000000000002</v>
      </c>
      <c r="J17" s="17">
        <v>15220</v>
      </c>
      <c r="K17" s="80">
        <f>Table89[[#This Row],[BIDEN VOTES]]/C65</f>
        <v>0.22764665410272517</v>
      </c>
      <c r="L17" s="18">
        <v>0.47</v>
      </c>
      <c r="M17" s="80">
        <f>1-(Table89[[#This Row],[NbP2]]+Table89[[#This Row],[NbP]])</f>
        <v>0.52059588979628468</v>
      </c>
    </row>
    <row r="18" spans="1:13" ht="20">
      <c r="A18" s="78" t="s">
        <v>2805</v>
      </c>
      <c r="B18" s="78" t="s">
        <v>297</v>
      </c>
      <c r="C18" s="78">
        <v>68</v>
      </c>
      <c r="D18" s="78">
        <f>Table88[[#This Row],[SFY2019 - 2020]]/C66</f>
        <v>2.2314836084402585E-3</v>
      </c>
      <c r="F18" s="16" t="s">
        <v>2832</v>
      </c>
      <c r="G18" s="17">
        <v>6582</v>
      </c>
      <c r="H18" s="80">
        <f>Table89[[#This Row],[TRUMP VOTES]]/C66</f>
        <v>0.21599448692284973</v>
      </c>
      <c r="I18" s="18">
        <v>0.502</v>
      </c>
      <c r="J18" s="17">
        <v>6436</v>
      </c>
      <c r="K18" s="80">
        <f>Table89[[#This Row],[BIDEN VOTES]]/C66</f>
        <v>0.21120336035178683</v>
      </c>
      <c r="L18" s="18">
        <v>0.49099999999999999</v>
      </c>
      <c r="M18" s="80">
        <f>1-(Table89[[#This Row],[NbP2]]+Table89[[#This Row],[NbP]])</f>
        <v>0.5728021527253635</v>
      </c>
    </row>
    <row r="19" spans="1:13" ht="20">
      <c r="A19" s="78" t="s">
        <v>1722</v>
      </c>
      <c r="B19" s="78" t="s">
        <v>297</v>
      </c>
      <c r="C19" s="78">
        <v>245</v>
      </c>
      <c r="D19" s="78">
        <f>Table88[[#This Row],[SFY2019 - 2020]]/C67</f>
        <v>1.5188241201668847E-3</v>
      </c>
      <c r="F19" s="16" t="s">
        <v>1744</v>
      </c>
      <c r="G19" s="17">
        <v>41913</v>
      </c>
      <c r="H19" s="80">
        <f>Table89[[#This Row],[TRUMP VOTES]]/C67</f>
        <v>0.25983051162675364</v>
      </c>
      <c r="I19" s="18">
        <v>0.54200000000000004</v>
      </c>
      <c r="J19" s="17">
        <v>33824</v>
      </c>
      <c r="K19" s="80">
        <f>Table89[[#This Row],[BIDEN VOTES]]/C67</f>
        <v>0.20968451853275391</v>
      </c>
      <c r="L19" s="18">
        <v>0.438</v>
      </c>
      <c r="M19" s="80">
        <f>1-(Table89[[#This Row],[NbP2]]+Table89[[#This Row],[NbP]])</f>
        <v>0.53048496984049243</v>
      </c>
    </row>
    <row r="20" spans="1:13" ht="20">
      <c r="A20" s="78" t="s">
        <v>2806</v>
      </c>
      <c r="B20" s="78" t="s">
        <v>297</v>
      </c>
      <c r="C20" s="78">
        <v>32</v>
      </c>
      <c r="D20" s="78">
        <f>Table88[[#This Row],[SFY2019 - 2020]]/C68</f>
        <v>1.1842640908922689E-3</v>
      </c>
      <c r="F20" s="16" t="s">
        <v>2833</v>
      </c>
      <c r="G20" s="17">
        <v>8184</v>
      </c>
      <c r="H20" s="80">
        <f>Table89[[#This Row],[TRUMP VOTES]]/C68</f>
        <v>0.30287554124569777</v>
      </c>
      <c r="I20" s="18">
        <v>0.61499999999999999</v>
      </c>
      <c r="J20" s="17">
        <v>4953</v>
      </c>
      <c r="K20" s="80">
        <f>Table89[[#This Row],[BIDEN VOTES]]/C68</f>
        <v>0.18330187631841902</v>
      </c>
      <c r="L20" s="18">
        <v>0.372</v>
      </c>
      <c r="M20" s="80">
        <f>1-(Table89[[#This Row],[NbP2]]+Table89[[#This Row],[NbP]])</f>
        <v>0.51382258243588319</v>
      </c>
    </row>
    <row r="21" spans="1:13" ht="20">
      <c r="A21" s="78" t="s">
        <v>1197</v>
      </c>
      <c r="B21" s="78" t="s">
        <v>297</v>
      </c>
      <c r="C21" s="78">
        <v>24</v>
      </c>
      <c r="D21" s="78">
        <f>Table88[[#This Row],[SFY2019 - 2020]]/C69</f>
        <v>1.0711416584843346E-3</v>
      </c>
      <c r="F21" s="16" t="s">
        <v>1209</v>
      </c>
      <c r="G21" s="17">
        <v>4625</v>
      </c>
      <c r="H21" s="80">
        <f>Table89[[#This Row],[TRUMP VOTES]]/C69</f>
        <v>0.20641792377041865</v>
      </c>
      <c r="I21" s="18">
        <v>0.38100000000000001</v>
      </c>
      <c r="J21" s="17">
        <v>7382</v>
      </c>
      <c r="K21" s="80">
        <f>Table89[[#This Row],[BIDEN VOTES]]/C69</f>
        <v>0.32946532178880655</v>
      </c>
      <c r="L21" s="18">
        <v>0.60799999999999998</v>
      </c>
      <c r="M21" s="80">
        <f>1-(Table89[[#This Row],[NbP2]]+Table89[[#This Row],[NbP]])</f>
        <v>0.46411675444077483</v>
      </c>
    </row>
    <row r="22" spans="1:13" ht="20">
      <c r="A22" s="78" t="s">
        <v>2807</v>
      </c>
      <c r="B22" s="78" t="s">
        <v>297</v>
      </c>
      <c r="C22" s="78">
        <v>229</v>
      </c>
      <c r="D22" s="78">
        <f>Table88[[#This Row],[SFY2019 - 2020]]/C70</f>
        <v>1.6565753018367008E-3</v>
      </c>
      <c r="F22" s="16" t="s">
        <v>2834</v>
      </c>
      <c r="G22" s="17">
        <v>32615</v>
      </c>
      <c r="H22" s="80">
        <f>Table89[[#This Row],[TRUMP VOTES]]/C70</f>
        <v>0.23593538632927508</v>
      </c>
      <c r="I22" s="18">
        <v>0.50600000000000001</v>
      </c>
      <c r="J22" s="17">
        <v>31153</v>
      </c>
      <c r="K22" s="80">
        <f>Table89[[#This Row],[BIDEN VOTES]]/C70</f>
        <v>0.22535934662933946</v>
      </c>
      <c r="L22" s="18">
        <v>0.48299999999999998</v>
      </c>
      <c r="M22" s="80">
        <f>1-(Table89[[#This Row],[NbP2]]+Table89[[#This Row],[NbP]])</f>
        <v>0.53870526704138544</v>
      </c>
    </row>
    <row r="23" spans="1:13" ht="20">
      <c r="A23" s="78" t="s">
        <v>2808</v>
      </c>
      <c r="B23" s="78" t="s">
        <v>297</v>
      </c>
      <c r="C23" s="78">
        <v>116</v>
      </c>
      <c r="D23" s="78">
        <f>Table88[[#This Row],[SFY2019 - 2020]]/C71</f>
        <v>1.8664521319388576E-3</v>
      </c>
      <c r="F23" s="16" t="s">
        <v>2835</v>
      </c>
      <c r="G23" s="17">
        <v>20487</v>
      </c>
      <c r="H23" s="80">
        <f>Table89[[#This Row],[TRUMP VOTES]]/C71</f>
        <v>0.32963797264682221</v>
      </c>
      <c r="I23" s="18">
        <v>0.55900000000000005</v>
      </c>
      <c r="J23" s="17">
        <v>15822</v>
      </c>
      <c r="K23" s="80">
        <f>Table89[[#This Row],[BIDEN VOTES]]/C71</f>
        <v>0.25457763475462591</v>
      </c>
      <c r="L23" s="18">
        <v>0.43099999999999999</v>
      </c>
      <c r="M23" s="80">
        <f>1-(Table89[[#This Row],[NbP2]]+Table89[[#This Row],[NbP]])</f>
        <v>0.41578439259855182</v>
      </c>
    </row>
    <row r="24" spans="1:13" ht="20">
      <c r="A24" s="78" t="s">
        <v>2809</v>
      </c>
      <c r="B24" s="78" t="s">
        <v>297</v>
      </c>
      <c r="C24" s="78">
        <v>888</v>
      </c>
      <c r="D24" s="78">
        <f>Table88[[#This Row],[SFY2019 - 2020]]/C72</f>
        <v>1.7205101079968844E-3</v>
      </c>
      <c r="F24" s="16" t="s">
        <v>2836</v>
      </c>
      <c r="G24" s="17">
        <v>150021</v>
      </c>
      <c r="H24" s="80">
        <f>Table89[[#This Row],[TRUMP VOTES]]/C72</f>
        <v>0.29066739517094664</v>
      </c>
      <c r="I24" s="18">
        <v>0.58099999999999996</v>
      </c>
      <c r="J24" s="17">
        <v>103030</v>
      </c>
      <c r="K24" s="80">
        <f>Table89[[#This Row],[BIDEN VOTES]]/C72</f>
        <v>0.19962179777806194</v>
      </c>
      <c r="L24" s="18">
        <v>0.39900000000000002</v>
      </c>
      <c r="M24" s="80">
        <f>1-(Table89[[#This Row],[NbP2]]+Table89[[#This Row],[NbP]])</f>
        <v>0.50971080705099148</v>
      </c>
    </row>
    <row r="25" spans="1:13" ht="20">
      <c r="A25" s="78" t="s">
        <v>2810</v>
      </c>
      <c r="B25" s="78" t="s">
        <v>297</v>
      </c>
      <c r="C25" s="78">
        <v>133</v>
      </c>
      <c r="D25" s="78">
        <f>Table88[[#This Row],[SFY2019 - 2020]]/C73</f>
        <v>1.881933438985737E-3</v>
      </c>
      <c r="F25" s="16" t="s">
        <v>2837</v>
      </c>
      <c r="G25" s="17">
        <v>19431</v>
      </c>
      <c r="H25" s="80">
        <f>Table89[[#This Row],[TRUMP VOTES]]/C73</f>
        <v>0.27494623047317185</v>
      </c>
      <c r="I25" s="18">
        <v>0.60699999999999998</v>
      </c>
      <c r="J25" s="17">
        <v>12145</v>
      </c>
      <c r="K25" s="80">
        <f>Table89[[#This Row],[BIDEN VOTES]]/C73</f>
        <v>0.17185023771790808</v>
      </c>
      <c r="L25" s="18">
        <v>0.379</v>
      </c>
      <c r="M25" s="80">
        <f>1-(Table89[[#This Row],[NbP2]]+Table89[[#This Row],[NbP]])</f>
        <v>0.55320353180892012</v>
      </c>
    </row>
    <row r="26" spans="1:13" ht="20">
      <c r="A26" s="78" t="s">
        <v>2811</v>
      </c>
      <c r="B26" s="78" t="s">
        <v>297</v>
      </c>
      <c r="C26" s="78">
        <v>33</v>
      </c>
      <c r="D26" s="78">
        <f>Table88[[#This Row],[SFY2019 - 2020]]/C74</f>
        <v>1.7166935441918535E-3</v>
      </c>
      <c r="F26" s="16" t="s">
        <v>2838</v>
      </c>
      <c r="G26" s="17">
        <v>3906</v>
      </c>
      <c r="H26" s="80">
        <f>Table89[[#This Row],[TRUMP VOTES]]/C74</f>
        <v>0.20319409041252667</v>
      </c>
      <c r="I26" s="18">
        <v>0.42</v>
      </c>
      <c r="J26" s="17">
        <v>5323</v>
      </c>
      <c r="K26" s="80">
        <f>Table89[[#This Row],[BIDEN VOTES]]/C74</f>
        <v>0.27690787077979506</v>
      </c>
      <c r="L26" s="18">
        <v>0.57199999999999995</v>
      </c>
      <c r="M26" s="80">
        <f>1-(Table89[[#This Row],[NbP2]]+Table89[[#This Row],[NbP]])</f>
        <v>0.51989803880767826</v>
      </c>
    </row>
    <row r="27" spans="1:13" ht="20">
      <c r="A27" s="78" t="s">
        <v>2812</v>
      </c>
      <c r="B27" s="78" t="s">
        <v>297</v>
      </c>
      <c r="C27" s="78">
        <v>559</v>
      </c>
      <c r="D27" s="78">
        <f>Table88[[#This Row],[SFY2019 - 2020]]/C75</f>
        <v>1.6241218410975461E-3</v>
      </c>
      <c r="F27" s="16" t="s">
        <v>2839</v>
      </c>
      <c r="G27" s="17">
        <v>118821</v>
      </c>
      <c r="H27" s="80">
        <f>Table89[[#This Row],[TRUMP VOTES]]/C75</f>
        <v>0.3452232223274625</v>
      </c>
      <c r="I27" s="18">
        <v>0.66100000000000003</v>
      </c>
      <c r="J27" s="17">
        <v>59180</v>
      </c>
      <c r="K27" s="80">
        <f>Table89[[#This Row],[BIDEN VOTES]]/C75</f>
        <v>0.17194191512728582</v>
      </c>
      <c r="L27" s="18">
        <v>0.32900000000000001</v>
      </c>
      <c r="M27" s="80">
        <f>1-(Table89[[#This Row],[NbP2]]+Table89[[#This Row],[NbP]])</f>
        <v>0.48283486254525165</v>
      </c>
    </row>
    <row r="28" spans="1:13" ht="20">
      <c r="A28" s="78" t="s">
        <v>667</v>
      </c>
      <c r="B28" s="78" t="s">
        <v>297</v>
      </c>
      <c r="C28" s="78">
        <v>27</v>
      </c>
      <c r="D28" s="78">
        <f>Table88[[#This Row],[SFY2019 - 2020]]/C76</f>
        <v>9.134582854049665E-4</v>
      </c>
      <c r="F28" s="16" t="s">
        <v>440</v>
      </c>
      <c r="G28" s="17">
        <v>7078</v>
      </c>
      <c r="H28" s="80">
        <f>Table89[[#This Row],[TRUMP VOTES]]/C76</f>
        <v>0.23946139792949456</v>
      </c>
      <c r="I28" s="18">
        <v>0.49199999999999999</v>
      </c>
      <c r="J28" s="17">
        <v>7185</v>
      </c>
      <c r="K28" s="80">
        <f>Table89[[#This Row],[BIDEN VOTES]]/C76</f>
        <v>0.24308139928276609</v>
      </c>
      <c r="L28" s="18">
        <v>0.499</v>
      </c>
      <c r="M28" s="80">
        <f>1-(Table89[[#This Row],[NbP2]]+Table89[[#This Row],[NbP]])</f>
        <v>0.51745720278773932</v>
      </c>
    </row>
    <row r="29" spans="1:13" ht="20">
      <c r="A29" s="78" t="s">
        <v>2813</v>
      </c>
      <c r="B29" s="78" t="s">
        <v>297</v>
      </c>
      <c r="C29" s="78">
        <v>94</v>
      </c>
      <c r="D29" s="78">
        <f>Table88[[#This Row],[SFY2019 - 2020]]/C77</f>
        <v>1.4258410945605679E-3</v>
      </c>
      <c r="F29" s="16" t="s">
        <v>2840</v>
      </c>
      <c r="G29" s="17">
        <v>20471</v>
      </c>
      <c r="H29" s="80">
        <f>Table89[[#This Row],[TRUMP VOTES]]/C77</f>
        <v>0.31051481964627003</v>
      </c>
      <c r="I29" s="18">
        <v>0.60899999999999999</v>
      </c>
      <c r="J29" s="17">
        <v>12699</v>
      </c>
      <c r="K29" s="80">
        <f>Table89[[#This Row],[BIDEN VOTES]]/C77</f>
        <v>0.19262506446621971</v>
      </c>
      <c r="L29" s="18">
        <v>0.378</v>
      </c>
      <c r="M29" s="80">
        <f>1-(Table89[[#This Row],[NbP2]]+Table89[[#This Row],[NbP]])</f>
        <v>0.49686011588751022</v>
      </c>
    </row>
    <row r="30" spans="1:13" ht="20">
      <c r="A30" s="78" t="s">
        <v>2202</v>
      </c>
      <c r="B30" s="78" t="s">
        <v>297</v>
      </c>
      <c r="C30" s="78">
        <v>254</v>
      </c>
      <c r="D30" s="78">
        <f>Table88[[#This Row],[SFY2019 - 2020]]/C78</f>
        <v>2.6630879238398793E-3</v>
      </c>
      <c r="F30" s="16" t="s">
        <v>2252</v>
      </c>
      <c r="G30" s="17">
        <v>30312</v>
      </c>
      <c r="H30" s="80">
        <f>Table89[[#This Row],[TRUMP VOTES]]/C78</f>
        <v>0.31780913837572605</v>
      </c>
      <c r="I30" s="18">
        <v>0.60799999999999998</v>
      </c>
      <c r="J30" s="17">
        <v>18937</v>
      </c>
      <c r="K30" s="80">
        <f>Table89[[#This Row],[BIDEN VOTES]]/C78</f>
        <v>0.19854683469982595</v>
      </c>
      <c r="L30" s="18">
        <v>0.38</v>
      </c>
      <c r="M30" s="80">
        <f>1-(Table89[[#This Row],[NbP2]]+Table89[[#This Row],[NbP]])</f>
        <v>0.48364402692444797</v>
      </c>
    </row>
    <row r="31" spans="1:13" ht="20">
      <c r="A31" s="78" t="s">
        <v>1263</v>
      </c>
      <c r="B31" s="78" t="s">
        <v>297</v>
      </c>
      <c r="C31" s="78">
        <v>151</v>
      </c>
      <c r="D31" s="78">
        <f>Table88[[#This Row],[SFY2019 - 2020]]/C79</f>
        <v>2.2540677713091505E-3</v>
      </c>
      <c r="F31" s="16" t="s">
        <v>1356</v>
      </c>
      <c r="G31" s="17">
        <v>20004</v>
      </c>
      <c r="H31" s="80">
        <f>Table89[[#This Row],[TRUMP VOTES]]/C79</f>
        <v>0.29861173309449174</v>
      </c>
      <c r="I31" s="18">
        <v>0.65600000000000003</v>
      </c>
      <c r="J31" s="17">
        <v>10159</v>
      </c>
      <c r="K31" s="80">
        <f>Table89[[#This Row],[BIDEN VOTES]]/C79</f>
        <v>0.151649499925362</v>
      </c>
      <c r="L31" s="18">
        <v>0.33300000000000002</v>
      </c>
      <c r="M31" s="80">
        <f>1-(Table89[[#This Row],[NbP2]]+Table89[[#This Row],[NbP]])</f>
        <v>0.54973876698014623</v>
      </c>
    </row>
    <row r="32" spans="1:13" ht="20">
      <c r="A32" s="78" t="s">
        <v>687</v>
      </c>
      <c r="B32" s="78" t="s">
        <v>297</v>
      </c>
      <c r="C32" s="78">
        <v>92</v>
      </c>
      <c r="D32" s="78">
        <f>Table88[[#This Row],[SFY2019 - 2020]]/C80</f>
        <v>5.3663089127391509E-3</v>
      </c>
      <c r="F32" s="16" t="s">
        <v>459</v>
      </c>
      <c r="G32" s="17">
        <v>3008</v>
      </c>
      <c r="H32" s="80">
        <f>Table89[[#This Row],[TRUMP VOTES]]/C80</f>
        <v>0.17545496966868876</v>
      </c>
      <c r="I32" s="18">
        <v>0.35699999999999998</v>
      </c>
      <c r="J32" s="17">
        <v>5329</v>
      </c>
      <c r="K32" s="80">
        <f>Table89[[#This Row],[BIDEN VOTES]]/C80</f>
        <v>0.31083761082594491</v>
      </c>
      <c r="L32" s="18">
        <v>0.63200000000000001</v>
      </c>
      <c r="M32" s="80">
        <f>1-(Table89[[#This Row],[NbP2]]+Table89[[#This Row],[NbP]])</f>
        <v>0.51370741950536636</v>
      </c>
    </row>
    <row r="33" spans="1:13" ht="20">
      <c r="A33" s="78" t="s">
        <v>2814</v>
      </c>
      <c r="B33" s="78" t="s">
        <v>297</v>
      </c>
      <c r="C33" s="78">
        <v>423</v>
      </c>
      <c r="D33" s="78">
        <f>Table88[[#This Row],[SFY2019 - 2020]]/C81</f>
        <v>1.4337379208427532E-3</v>
      </c>
      <c r="F33" s="16" t="s">
        <v>2841</v>
      </c>
      <c r="G33" s="17">
        <v>92817</v>
      </c>
      <c r="H33" s="80">
        <f>Table89[[#This Row],[TRUMP VOTES]]/C81</f>
        <v>0.31459870590747474</v>
      </c>
      <c r="I33" s="18">
        <v>0.64200000000000002</v>
      </c>
      <c r="J33" s="17">
        <v>49301</v>
      </c>
      <c r="K33" s="80">
        <f>Table89[[#This Row],[BIDEN VOTES]]/C81</f>
        <v>0.1671033409821952</v>
      </c>
      <c r="L33" s="18">
        <v>0.34100000000000003</v>
      </c>
      <c r="M33" s="80">
        <f>1-(Table89[[#This Row],[NbP2]]+Table89[[#This Row],[NbP]])</f>
        <v>0.51829795311033</v>
      </c>
    </row>
    <row r="34" spans="1:13" ht="20">
      <c r="A34" s="78" t="s">
        <v>126</v>
      </c>
      <c r="B34" s="78" t="s">
        <v>297</v>
      </c>
      <c r="C34" s="78">
        <v>93</v>
      </c>
      <c r="D34" s="78">
        <f>Table88[[#This Row],[SFY2019 - 2020]]/C82</f>
        <v>3.0044582283388255E-3</v>
      </c>
      <c r="F34" s="16" t="s">
        <v>227</v>
      </c>
      <c r="G34" s="17">
        <v>5711</v>
      </c>
      <c r="H34" s="80">
        <f>Table89[[#This Row],[TRUMP VOTES]]/C82</f>
        <v>0.18449958002196809</v>
      </c>
      <c r="I34" s="18">
        <v>0.38800000000000001</v>
      </c>
      <c r="J34" s="17">
        <v>8872</v>
      </c>
      <c r="K34" s="80">
        <f>Table89[[#This Row],[BIDEN VOTES]]/C82</f>
        <v>0.28661885378303287</v>
      </c>
      <c r="L34" s="18">
        <v>0.60299999999999998</v>
      </c>
      <c r="M34" s="80">
        <f>1-(Table89[[#This Row],[NbP2]]+Table89[[#This Row],[NbP]])</f>
        <v>0.52888156619499904</v>
      </c>
    </row>
    <row r="35" spans="1:13" ht="20">
      <c r="A35" s="78" t="s">
        <v>2815</v>
      </c>
      <c r="B35" s="78" t="s">
        <v>297</v>
      </c>
      <c r="C35" s="78">
        <v>56</v>
      </c>
      <c r="D35" s="78">
        <f>Table88[[#This Row],[SFY2019 - 2020]]/C83</f>
        <v>2.1231422505307855E-3</v>
      </c>
      <c r="F35" s="16" t="s">
        <v>2843</v>
      </c>
      <c r="G35" s="17">
        <v>5044</v>
      </c>
      <c r="H35" s="80">
        <f>Table89[[#This Row],[TRUMP VOTES]]/C83</f>
        <v>0.19123445556566576</v>
      </c>
      <c r="I35" s="18">
        <v>0.441</v>
      </c>
      <c r="J35" s="17">
        <v>6290</v>
      </c>
      <c r="K35" s="80">
        <f>Table89[[#This Row],[BIDEN VOTES]]/C83</f>
        <v>0.23847437063997573</v>
      </c>
      <c r="L35" s="18">
        <v>0.55000000000000004</v>
      </c>
      <c r="M35" s="80">
        <f>1-(Table89[[#This Row],[NbP2]]+Table89[[#This Row],[NbP]])</f>
        <v>0.57029117379435856</v>
      </c>
    </row>
    <row r="36" spans="1:13" ht="20">
      <c r="A36" s="78" t="s">
        <v>2816</v>
      </c>
      <c r="B36" s="78" t="s">
        <v>297</v>
      </c>
      <c r="C36" s="78">
        <v>7</v>
      </c>
      <c r="D36" s="78">
        <f>Table88[[#This Row],[SFY2019 - 2020]]/C84</f>
        <v>7.3723012111637709E-4</v>
      </c>
      <c r="F36" s="16" t="s">
        <v>2842</v>
      </c>
      <c r="G36" s="17">
        <v>2958</v>
      </c>
      <c r="H36" s="80">
        <f>Table89[[#This Row],[TRUMP VOTES]]/C84</f>
        <v>0.31153238546603473</v>
      </c>
      <c r="I36" s="18">
        <v>0.51900000000000002</v>
      </c>
      <c r="J36" s="17">
        <v>2687</v>
      </c>
      <c r="K36" s="80">
        <f>Table89[[#This Row],[BIDEN VOTES]]/C84</f>
        <v>0.28299104791995788</v>
      </c>
      <c r="L36" s="18">
        <v>0.47199999999999998</v>
      </c>
      <c r="M36" s="80">
        <f>1-(Table89[[#This Row],[NbP2]]+Table89[[#This Row],[NbP]])</f>
        <v>0.40547656661400744</v>
      </c>
    </row>
    <row r="37" spans="1:13" ht="20">
      <c r="A37" s="78" t="s">
        <v>2817</v>
      </c>
      <c r="B37" s="78" t="s">
        <v>297</v>
      </c>
      <c r="C37" s="78">
        <v>74</v>
      </c>
      <c r="D37" s="78">
        <f>Table88[[#This Row],[SFY2019 - 2020]]/C85</f>
        <v>1.9306530303425606E-3</v>
      </c>
      <c r="F37" s="16" t="s">
        <v>2844</v>
      </c>
      <c r="G37" s="17">
        <v>11443</v>
      </c>
      <c r="H37" s="80">
        <f>Table89[[#This Row],[TRUMP VOTES]]/C85</f>
        <v>0.29854679224607999</v>
      </c>
      <c r="I37" s="18">
        <v>0.61399999999999999</v>
      </c>
      <c r="J37" s="17">
        <v>6958</v>
      </c>
      <c r="K37" s="80">
        <f>Table89[[#This Row],[BIDEN VOTES]]/C85</f>
        <v>0.18153356466383155</v>
      </c>
      <c r="L37" s="18">
        <v>0.373</v>
      </c>
      <c r="M37" s="80">
        <f>1-(Table89[[#This Row],[NbP2]]+Table89[[#This Row],[NbP]])</f>
        <v>0.51991964309008842</v>
      </c>
    </row>
    <row r="38" spans="1:13" ht="20">
      <c r="A38" s="78" t="s">
        <v>1272</v>
      </c>
      <c r="B38" s="78" t="s">
        <v>297</v>
      </c>
      <c r="C38" s="78">
        <v>151</v>
      </c>
      <c r="D38" s="78">
        <f>Table88[[#This Row],[SFY2019 - 2020]]/C86</f>
        <v>1.9281354547079704E-3</v>
      </c>
      <c r="F38" s="16" t="s">
        <v>1365</v>
      </c>
      <c r="G38" s="17">
        <v>29698</v>
      </c>
      <c r="H38" s="80">
        <f>Table89[[#This Row],[TRUMP VOTES]]/C86</f>
        <v>0.37921699823786298</v>
      </c>
      <c r="I38" s="18">
        <v>0.73</v>
      </c>
      <c r="J38" s="17">
        <v>10414</v>
      </c>
      <c r="K38" s="80">
        <f>Table89[[#This Row],[BIDEN VOTES]]/C86</f>
        <v>0.13297750082999207</v>
      </c>
      <c r="L38" s="18">
        <v>0.25600000000000001</v>
      </c>
      <c r="M38" s="80">
        <f>1-(Table89[[#This Row],[NbP2]]+Table89[[#This Row],[NbP]])</f>
        <v>0.48780550093214492</v>
      </c>
    </row>
    <row r="39" spans="1:13" ht="20">
      <c r="A39" s="78" t="s">
        <v>2818</v>
      </c>
      <c r="B39" s="78" t="s">
        <v>297</v>
      </c>
      <c r="C39" s="78">
        <v>131</v>
      </c>
      <c r="D39" s="78">
        <f>Table88[[#This Row],[SFY2019 - 2020]]/C87</f>
        <v>1.5065610157211366E-3</v>
      </c>
      <c r="F39" s="16" t="s">
        <v>2845</v>
      </c>
      <c r="G39" s="17">
        <v>13603</v>
      </c>
      <c r="H39" s="80">
        <f>Table89[[#This Row],[TRUMP VOTES]]/C87</f>
        <v>0.15644083585385207</v>
      </c>
      <c r="I39" s="18">
        <v>0.33</v>
      </c>
      <c r="J39" s="17">
        <v>27295</v>
      </c>
      <c r="K39" s="80">
        <f>Table89[[#This Row],[BIDEN VOTES]]/C87</f>
        <v>0.31390521316113301</v>
      </c>
      <c r="L39" s="18">
        <v>0.66200000000000003</v>
      </c>
      <c r="M39" s="80">
        <f>1-(Table89[[#This Row],[NbP2]]+Table89[[#This Row],[NbP]])</f>
        <v>0.52965395098501489</v>
      </c>
    </row>
    <row r="40" spans="1:13" ht="20">
      <c r="A40" s="78" t="s">
        <v>912</v>
      </c>
      <c r="B40" s="78" t="s">
        <v>297</v>
      </c>
      <c r="C40" s="78">
        <v>166</v>
      </c>
      <c r="D40" s="78">
        <f>Table88[[#This Row],[SFY2019 - 2020]]/C88</f>
        <v>1.3239645560332108E-3</v>
      </c>
      <c r="F40" s="16" t="s">
        <v>944</v>
      </c>
      <c r="G40" s="17">
        <v>42907</v>
      </c>
      <c r="H40" s="80">
        <f>Table89[[#This Row],[TRUMP VOTES]]/C88</f>
        <v>0.34221293497419863</v>
      </c>
      <c r="I40" s="18">
        <v>0.746</v>
      </c>
      <c r="J40" s="17">
        <v>13645</v>
      </c>
      <c r="K40" s="80">
        <f>Table89[[#This Row],[BIDEN VOTES]]/C88</f>
        <v>0.10882829136791061</v>
      </c>
      <c r="L40" s="18">
        <v>0.23699999999999999</v>
      </c>
      <c r="M40" s="80">
        <f>1-(Table89[[#This Row],[NbP2]]+Table89[[#This Row],[NbP]])</f>
        <v>0.5489587736578907</v>
      </c>
    </row>
    <row r="41" spans="1:13" ht="20">
      <c r="A41" s="78" t="s">
        <v>2538</v>
      </c>
      <c r="B41" s="78" t="s">
        <v>297</v>
      </c>
      <c r="C41" s="78">
        <v>914</v>
      </c>
      <c r="D41" s="78">
        <f>Table88[[#This Row],[SFY2019 - 2020]]/C89</f>
        <v>2.204215501856943E-3</v>
      </c>
      <c r="F41" s="16" t="s">
        <v>2573</v>
      </c>
      <c r="G41" s="17">
        <v>58313</v>
      </c>
      <c r="H41" s="80">
        <f>Table89[[#This Row],[TRUMP VOTES]]/C89</f>
        <v>0.14062846669560605</v>
      </c>
      <c r="I41" s="18">
        <v>0.30099999999999999</v>
      </c>
      <c r="J41" s="17">
        <v>132570</v>
      </c>
      <c r="K41" s="80">
        <f>Table89[[#This Row],[BIDEN VOTES]]/C89</f>
        <v>0.31970771234264217</v>
      </c>
      <c r="L41" s="18">
        <v>0.68400000000000005</v>
      </c>
      <c r="M41" s="80">
        <f>1-(Table89[[#This Row],[NbP2]]+Table89[[#This Row],[NbP]])</f>
        <v>0.53966382096175181</v>
      </c>
    </row>
    <row r="42" spans="1:13" ht="20">
      <c r="A42" s="78" t="s">
        <v>2819</v>
      </c>
      <c r="B42" s="78" t="s">
        <v>297</v>
      </c>
      <c r="C42" s="78">
        <v>22</v>
      </c>
      <c r="D42" s="78">
        <f>Table88[[#This Row],[SFY2019 - 2020]]/C90</f>
        <v>1.0841711019120837E-3</v>
      </c>
      <c r="F42" s="16" t="s">
        <v>2846</v>
      </c>
      <c r="G42" s="17">
        <v>6210</v>
      </c>
      <c r="H42" s="80">
        <f>Table89[[#This Row],[TRUMP VOTES]]/C90</f>
        <v>0.30603193376700177</v>
      </c>
      <c r="I42" s="18">
        <v>0.67</v>
      </c>
      <c r="J42" s="17">
        <v>2963</v>
      </c>
      <c r="K42" s="80">
        <f>Table89[[#This Row],[BIDEN VOTES]]/C90</f>
        <v>0.1460181352257047</v>
      </c>
      <c r="L42" s="18">
        <v>0.31900000000000001</v>
      </c>
      <c r="M42" s="80">
        <f>1-(Table89[[#This Row],[NbP2]]+Table89[[#This Row],[NbP]])</f>
        <v>0.5479499310072935</v>
      </c>
    </row>
    <row r="43" spans="1:13" ht="20">
      <c r="A43" s="78" t="s">
        <v>2820</v>
      </c>
      <c r="B43" s="78" t="s">
        <v>297</v>
      </c>
      <c r="C43" s="78">
        <v>583</v>
      </c>
      <c r="D43" s="78">
        <f>Table88[[#This Row],[SFY2019 - 2020]]/C91</f>
        <v>1.8579245421315462E-3</v>
      </c>
      <c r="F43" s="16" t="s">
        <v>2847</v>
      </c>
      <c r="G43" s="17">
        <v>93560</v>
      </c>
      <c r="H43" s="80">
        <f>Table89[[#This Row],[TRUMP VOTES]]/C91</f>
        <v>0.29816024041479838</v>
      </c>
      <c r="I43" s="18">
        <v>0.629</v>
      </c>
      <c r="J43" s="17">
        <v>52926</v>
      </c>
      <c r="K43" s="80">
        <f>Table89[[#This Row],[BIDEN VOTES]]/C91</f>
        <v>0.16866640534623364</v>
      </c>
      <c r="L43" s="18">
        <v>0.35599999999999998</v>
      </c>
      <c r="M43" s="80">
        <f>1-(Table89[[#This Row],[NbP2]]+Table89[[#This Row],[NbP]])</f>
        <v>0.53317335423896794</v>
      </c>
    </row>
    <row r="44" spans="1:13" ht="20">
      <c r="A44" s="78" t="s">
        <v>916</v>
      </c>
      <c r="B44" s="78" t="s">
        <v>297</v>
      </c>
      <c r="C44" s="78">
        <v>168</v>
      </c>
      <c r="D44" s="78">
        <f>Table88[[#This Row],[SFY2019 - 2020]]/C92</f>
        <v>1.5748769627372862E-3</v>
      </c>
      <c r="F44" s="16" t="s">
        <v>948</v>
      </c>
      <c r="G44" s="17">
        <v>21000</v>
      </c>
      <c r="H44" s="80">
        <f>Table89[[#This Row],[TRUMP VOTES]]/C92</f>
        <v>0.19685962034216076</v>
      </c>
      <c r="I44" s="18">
        <v>0.42899999999999999</v>
      </c>
      <c r="J44" s="17">
        <v>27379</v>
      </c>
      <c r="K44" s="80">
        <f>Table89[[#This Row],[BIDEN VOTES]]/C92</f>
        <v>0.25665807358800091</v>
      </c>
      <c r="L44" s="18">
        <v>0.56000000000000005</v>
      </c>
      <c r="M44" s="80">
        <f>1-(Table89[[#This Row],[NbP2]]+Table89[[#This Row],[NbP]])</f>
        <v>0.54648230606983828</v>
      </c>
    </row>
    <row r="45" spans="1:13" ht="20">
      <c r="A45" s="78" t="s">
        <v>157</v>
      </c>
      <c r="B45" s="78" t="s">
        <v>297</v>
      </c>
      <c r="C45" s="78">
        <v>65</v>
      </c>
      <c r="D45" s="78">
        <f>Table88[[#This Row],[SFY2019 - 2020]]/C93</f>
        <v>2.3787740164684353E-3</v>
      </c>
      <c r="F45" s="16" t="s">
        <v>255</v>
      </c>
      <c r="G45" s="17">
        <v>8183</v>
      </c>
      <c r="H45" s="80">
        <f>Table89[[#This Row],[TRUMP VOTES]]/C93</f>
        <v>0.29946935041171091</v>
      </c>
      <c r="I45" s="18">
        <v>0.61699999999999999</v>
      </c>
      <c r="J45" s="17">
        <v>4935</v>
      </c>
      <c r="K45" s="80">
        <f>Table89[[#This Row],[BIDEN VOTES]]/C93</f>
        <v>0.18060384263494969</v>
      </c>
      <c r="L45" s="18">
        <v>0.372</v>
      </c>
      <c r="M45" s="80">
        <f>1-(Table89[[#This Row],[NbP2]]+Table89[[#This Row],[NbP]])</f>
        <v>0.51992680695333937</v>
      </c>
    </row>
    <row r="46" spans="1:13" ht="20">
      <c r="A46" s="78" t="s">
        <v>2821</v>
      </c>
      <c r="B46" s="78" t="s">
        <v>297</v>
      </c>
      <c r="C46" s="78">
        <v>27</v>
      </c>
      <c r="D46" s="78">
        <f>Table88[[#This Row],[SFY2019 - 2020]]/C94</f>
        <v>8.7633885102239529E-4</v>
      </c>
      <c r="F46" s="16" t="s">
        <v>2848</v>
      </c>
      <c r="G46" s="17">
        <v>5532</v>
      </c>
      <c r="H46" s="80">
        <f>Table89[[#This Row],[TRUMP VOTES]]/C94</f>
        <v>0.17955209347614412</v>
      </c>
      <c r="I46" s="18">
        <v>0.34599999999999997</v>
      </c>
      <c r="J46" s="17">
        <v>10289</v>
      </c>
      <c r="K46" s="80">
        <f>Table89[[#This Row],[BIDEN VOTES]]/C94</f>
        <v>0.33395001622849724</v>
      </c>
      <c r="L46" s="18">
        <v>0.64400000000000002</v>
      </c>
      <c r="M46" s="80">
        <f>1-(Table89[[#This Row],[NbP2]]+Table89[[#This Row],[NbP]])</f>
        <v>0.48649789029535861</v>
      </c>
    </row>
    <row r="47" spans="1:13" ht="20">
      <c r="A47" s="78" t="s">
        <v>1701</v>
      </c>
      <c r="B47" s="78" t="s">
        <v>297</v>
      </c>
      <c r="C47" s="78">
        <v>300</v>
      </c>
      <c r="D47" s="78">
        <f>Table88[[#This Row],[SFY2019 - 2020]]/C95</f>
        <v>1.0953422396827888E-3</v>
      </c>
      <c r="F47" s="16" t="s">
        <v>1703</v>
      </c>
      <c r="G47" s="17">
        <v>82727</v>
      </c>
      <c r="H47" s="80">
        <f>Table89[[#This Row],[TRUMP VOTES]]/C95</f>
        <v>0.30204792487412691</v>
      </c>
      <c r="I47" s="18">
        <v>0.57399999999999995</v>
      </c>
      <c r="J47" s="17">
        <v>59008</v>
      </c>
      <c r="K47" s="80">
        <f>Table89[[#This Row],[BIDEN VOTES]]/C95</f>
        <v>0.21544651626400668</v>
      </c>
      <c r="L47" s="18">
        <v>0.41</v>
      </c>
      <c r="M47" s="80">
        <f>1-(Table89[[#This Row],[NbP2]]+Table89[[#This Row],[NbP]])</f>
        <v>0.48250555886186641</v>
      </c>
    </row>
    <row r="49" spans="1:3" ht="21">
      <c r="A49" s="77" t="s">
        <v>1670</v>
      </c>
      <c r="B49" s="77" t="s">
        <v>69</v>
      </c>
      <c r="C49" s="77" t="s">
        <v>54</v>
      </c>
    </row>
    <row r="50" spans="1:3" ht="21">
      <c r="A50" s="52">
        <v>37</v>
      </c>
      <c r="B50" s="53" t="s">
        <v>2822</v>
      </c>
      <c r="C50" s="54">
        <v>24582</v>
      </c>
    </row>
    <row r="51" spans="1:3" ht="21">
      <c r="A51" s="52">
        <v>11</v>
      </c>
      <c r="B51" s="53" t="s">
        <v>2823</v>
      </c>
      <c r="C51" s="54">
        <v>169947</v>
      </c>
    </row>
    <row r="52" spans="1:3" ht="21">
      <c r="A52" s="52">
        <v>46</v>
      </c>
      <c r="B52" s="53" t="s">
        <v>2824</v>
      </c>
      <c r="C52" s="54">
        <v>8789</v>
      </c>
    </row>
    <row r="53" spans="1:3" ht="21">
      <c r="A53" s="52">
        <v>9</v>
      </c>
      <c r="B53" s="53" t="s">
        <v>170</v>
      </c>
      <c r="C53" s="54">
        <v>200183</v>
      </c>
    </row>
    <row r="54" spans="1:3" ht="21">
      <c r="A54" s="52">
        <v>44</v>
      </c>
      <c r="B54" s="53" t="s">
        <v>2825</v>
      </c>
      <c r="C54" s="54">
        <v>14236</v>
      </c>
    </row>
    <row r="55" spans="1:3" ht="21">
      <c r="A55" s="52">
        <v>39</v>
      </c>
      <c r="B55" s="53" t="s">
        <v>2826</v>
      </c>
      <c r="C55" s="54">
        <v>21170</v>
      </c>
    </row>
    <row r="56" spans="1:3" ht="21">
      <c r="A56" s="52">
        <v>10</v>
      </c>
      <c r="B56" s="53" t="s">
        <v>2458</v>
      </c>
      <c r="C56" s="54">
        <v>189732</v>
      </c>
    </row>
    <row r="57" spans="1:3" ht="21">
      <c r="A57" s="52">
        <v>8</v>
      </c>
      <c r="B57" s="53" t="s">
        <v>826</v>
      </c>
      <c r="C57" s="54">
        <v>222103</v>
      </c>
    </row>
    <row r="58" spans="1:3" ht="21">
      <c r="A58" s="52">
        <v>43</v>
      </c>
      <c r="B58" s="53" t="s">
        <v>358</v>
      </c>
      <c r="C58" s="54">
        <v>14608</v>
      </c>
    </row>
    <row r="59" spans="1:3" ht="21">
      <c r="A59" s="52">
        <v>3</v>
      </c>
      <c r="B59" s="53" t="s">
        <v>2827</v>
      </c>
      <c r="C59" s="54">
        <v>407543</v>
      </c>
    </row>
    <row r="60" spans="1:3" ht="21">
      <c r="A60" s="52">
        <v>24</v>
      </c>
      <c r="B60" s="53" t="s">
        <v>366</v>
      </c>
      <c r="C60" s="54">
        <v>57110</v>
      </c>
    </row>
    <row r="61" spans="1:3" ht="21">
      <c r="A61" s="52">
        <v>29</v>
      </c>
      <c r="B61" s="53" t="s">
        <v>181</v>
      </c>
      <c r="C61" s="54">
        <v>32260</v>
      </c>
    </row>
    <row r="62" spans="1:3" ht="21">
      <c r="A62" s="52">
        <v>25</v>
      </c>
      <c r="B62" s="53" t="s">
        <v>2828</v>
      </c>
      <c r="C62" s="54">
        <v>45833</v>
      </c>
    </row>
    <row r="63" spans="1:3" ht="21">
      <c r="A63" s="52">
        <v>28</v>
      </c>
      <c r="B63" s="53" t="s">
        <v>2829</v>
      </c>
      <c r="C63" s="54">
        <v>33865</v>
      </c>
    </row>
    <row r="64" spans="1:3" ht="21">
      <c r="A64" s="52">
        <v>27</v>
      </c>
      <c r="B64" s="53" t="s">
        <v>2830</v>
      </c>
      <c r="C64" s="54">
        <v>37624</v>
      </c>
    </row>
    <row r="65" spans="1:3" ht="21">
      <c r="A65" s="52">
        <v>21</v>
      </c>
      <c r="B65" s="53" t="s">
        <v>2831</v>
      </c>
      <c r="C65" s="54">
        <v>66858</v>
      </c>
    </row>
    <row r="66" spans="1:3" ht="21">
      <c r="A66" s="52">
        <v>32</v>
      </c>
      <c r="B66" s="53" t="s">
        <v>2832</v>
      </c>
      <c r="C66" s="54">
        <v>30473</v>
      </c>
    </row>
    <row r="67" spans="1:3" ht="21">
      <c r="A67" s="52">
        <v>12</v>
      </c>
      <c r="B67" s="53" t="s">
        <v>1744</v>
      </c>
      <c r="C67" s="54">
        <v>161309</v>
      </c>
    </row>
    <row r="68" spans="1:3" ht="21">
      <c r="A68" s="52">
        <v>35</v>
      </c>
      <c r="B68" s="53" t="s">
        <v>2833</v>
      </c>
      <c r="C68" s="54">
        <v>27021</v>
      </c>
    </row>
    <row r="69" spans="1:3" ht="21">
      <c r="A69" s="52">
        <v>38</v>
      </c>
      <c r="B69" s="53" t="s">
        <v>1209</v>
      </c>
      <c r="C69" s="54">
        <v>22406</v>
      </c>
    </row>
    <row r="70" spans="1:3" ht="21">
      <c r="A70" s="52">
        <v>13</v>
      </c>
      <c r="B70" s="53" t="s">
        <v>2834</v>
      </c>
      <c r="C70" s="54">
        <v>138237</v>
      </c>
    </row>
    <row r="71" spans="1:3" ht="21">
      <c r="A71" s="52">
        <v>23</v>
      </c>
      <c r="B71" s="53" t="s">
        <v>2835</v>
      </c>
      <c r="C71" s="54">
        <v>62150</v>
      </c>
    </row>
    <row r="72" spans="1:3" ht="21">
      <c r="A72" s="52">
        <v>1</v>
      </c>
      <c r="B72" s="53" t="s">
        <v>2836</v>
      </c>
      <c r="C72" s="54">
        <v>516126</v>
      </c>
    </row>
    <row r="73" spans="1:3" ht="21">
      <c r="A73" s="52">
        <v>19</v>
      </c>
      <c r="B73" s="53" t="s">
        <v>2837</v>
      </c>
      <c r="C73" s="54">
        <v>70672</v>
      </c>
    </row>
    <row r="74" spans="1:3" ht="21">
      <c r="A74" s="52">
        <v>41</v>
      </c>
      <c r="B74" s="53" t="s">
        <v>2838</v>
      </c>
      <c r="C74" s="54">
        <v>19223</v>
      </c>
    </row>
    <row r="75" spans="1:3" ht="21">
      <c r="A75" s="52">
        <v>4</v>
      </c>
      <c r="B75" s="53" t="s">
        <v>2839</v>
      </c>
      <c r="C75" s="54">
        <v>344186</v>
      </c>
    </row>
    <row r="76" spans="1:3" ht="21">
      <c r="A76" s="52">
        <v>33</v>
      </c>
      <c r="B76" s="53" t="s">
        <v>440</v>
      </c>
      <c r="C76" s="54">
        <v>29558</v>
      </c>
    </row>
    <row r="77" spans="1:3" ht="21">
      <c r="A77" s="52">
        <v>22</v>
      </c>
      <c r="B77" s="53" t="s">
        <v>2840</v>
      </c>
      <c r="C77" s="54">
        <v>65926</v>
      </c>
    </row>
    <row r="78" spans="1:3" ht="21">
      <c r="A78" s="52">
        <v>16</v>
      </c>
      <c r="B78" s="53" t="s">
        <v>2252</v>
      </c>
      <c r="C78" s="54">
        <v>95378</v>
      </c>
    </row>
    <row r="79" spans="1:3" ht="21">
      <c r="A79" s="52">
        <v>20</v>
      </c>
      <c r="B79" s="53" t="s">
        <v>1356</v>
      </c>
      <c r="C79" s="54">
        <v>66990</v>
      </c>
    </row>
    <row r="80" spans="1:3" ht="21">
      <c r="A80" s="52">
        <v>42</v>
      </c>
      <c r="B80" s="53" t="s">
        <v>459</v>
      </c>
      <c r="C80" s="54">
        <v>17144</v>
      </c>
    </row>
    <row r="81" spans="1:3" ht="21">
      <c r="A81" s="52">
        <v>6</v>
      </c>
      <c r="B81" s="53" t="s">
        <v>2841</v>
      </c>
      <c r="C81" s="54">
        <v>295033</v>
      </c>
    </row>
    <row r="82" spans="1:3" ht="21">
      <c r="A82" s="52">
        <v>30</v>
      </c>
      <c r="B82" s="53" t="s">
        <v>227</v>
      </c>
      <c r="C82" s="54">
        <v>30954</v>
      </c>
    </row>
    <row r="83" spans="1:3" ht="21">
      <c r="A83" s="52">
        <v>36</v>
      </c>
      <c r="B83" s="53" t="s">
        <v>2843</v>
      </c>
      <c r="C83" s="54">
        <v>26376</v>
      </c>
    </row>
    <row r="84" spans="1:3" ht="21">
      <c r="A84" s="52">
        <v>45</v>
      </c>
      <c r="B84" s="53" t="s">
        <v>2842</v>
      </c>
      <c r="C84" s="54">
        <v>9495</v>
      </c>
    </row>
    <row r="85" spans="1:3" ht="21">
      <c r="A85" s="52">
        <v>26</v>
      </c>
      <c r="B85" s="53" t="s">
        <v>2844</v>
      </c>
      <c r="C85" s="54">
        <v>38329</v>
      </c>
    </row>
    <row r="86" spans="1:3" ht="21">
      <c r="A86" s="52">
        <v>18</v>
      </c>
      <c r="B86" s="53" t="s">
        <v>1365</v>
      </c>
      <c r="C86" s="54">
        <v>78314</v>
      </c>
    </row>
    <row r="87" spans="1:3" ht="21">
      <c r="A87" s="52">
        <v>17</v>
      </c>
      <c r="B87" s="53" t="s">
        <v>2845</v>
      </c>
      <c r="C87" s="54">
        <v>86953</v>
      </c>
    </row>
    <row r="88" spans="1:3" ht="21">
      <c r="A88" s="52">
        <v>14</v>
      </c>
      <c r="B88" s="53" t="s">
        <v>944</v>
      </c>
      <c r="C88" s="54">
        <v>125381</v>
      </c>
    </row>
    <row r="89" spans="1:3" ht="21">
      <c r="A89" s="52">
        <v>2</v>
      </c>
      <c r="B89" s="53" t="s">
        <v>2573</v>
      </c>
      <c r="C89" s="54">
        <v>414660</v>
      </c>
    </row>
    <row r="90" spans="1:3" ht="21">
      <c r="A90" s="52">
        <v>40</v>
      </c>
      <c r="B90" s="53" t="s">
        <v>2846</v>
      </c>
      <c r="C90" s="54">
        <v>20292</v>
      </c>
    </row>
    <row r="91" spans="1:3" ht="21">
      <c r="A91" s="52">
        <v>5</v>
      </c>
      <c r="B91" s="53" t="s">
        <v>2847</v>
      </c>
      <c r="C91" s="54">
        <v>313791</v>
      </c>
    </row>
    <row r="92" spans="1:3" ht="21">
      <c r="A92" s="52">
        <v>15</v>
      </c>
      <c r="B92" s="53" t="s">
        <v>948</v>
      </c>
      <c r="C92" s="54">
        <v>106675</v>
      </c>
    </row>
    <row r="93" spans="1:3" ht="21">
      <c r="A93" s="52">
        <v>34</v>
      </c>
      <c r="B93" s="53" t="s">
        <v>255</v>
      </c>
      <c r="C93" s="54">
        <v>27325</v>
      </c>
    </row>
    <row r="94" spans="1:3" ht="21">
      <c r="A94" s="52">
        <v>31</v>
      </c>
      <c r="B94" s="53" t="s">
        <v>2848</v>
      </c>
      <c r="C94" s="54">
        <v>30810</v>
      </c>
    </row>
    <row r="95" spans="1:3" ht="21">
      <c r="A95" s="52">
        <v>7</v>
      </c>
      <c r="B95" s="53" t="s">
        <v>1703</v>
      </c>
      <c r="C95" s="54">
        <v>273887</v>
      </c>
    </row>
  </sheetData>
  <hyperlinks>
    <hyperlink ref="B72" r:id="rId1" display="https://www.southcarolina-demographics.com/greenville-county-demographics" xr:uid="{7C0BD342-C92C-474D-9EF0-6EFF308555C1}"/>
    <hyperlink ref="B89" r:id="rId2" display="https://www.southcarolina-demographics.com/richland-county-demographics" xr:uid="{CFF389B7-E458-B848-A475-1ADBE2F65602}"/>
    <hyperlink ref="B59" r:id="rId3" display="https://www.southcarolina-demographics.com/charleston-county-demographics" xr:uid="{0AD3DCEC-B144-A54A-B4BF-1E7E3C65C7B9}"/>
    <hyperlink ref="B75" r:id="rId4" display="https://www.southcarolina-demographics.com/horry-county-demographics" xr:uid="{862DCDB3-F88E-2147-A4AE-BE48F4F3706A}"/>
    <hyperlink ref="B91" r:id="rId5" display="https://www.southcarolina-demographics.com/spartanburg-county-demographics" xr:uid="{8C68AABE-CF93-0B43-808F-7942CCB6B12A}"/>
    <hyperlink ref="B81" r:id="rId6" display="https://www.southcarolina-demographics.com/lexington-county-demographics" xr:uid="{F5E96BE0-32E0-FE45-AE86-E1A7AFFDE717}"/>
    <hyperlink ref="B95" r:id="rId7" display="https://www.southcarolina-demographics.com/york-county-demographics" xr:uid="{4A9C5810-2854-454C-8A3F-DEE15982330A}"/>
    <hyperlink ref="B57" r:id="rId8" display="https://www.southcarolina-demographics.com/berkeley-county-demographics" xr:uid="{C513266F-0C96-7449-98E0-BF050C69C5C0}"/>
    <hyperlink ref="B53" r:id="rId9" display="https://www.southcarolina-demographics.com/anderson-county-demographics" xr:uid="{1A7F8C38-F76F-6047-B434-935F948AD7DA}"/>
    <hyperlink ref="B56" r:id="rId10" display="https://www.southcarolina-demographics.com/beaufort-county-demographics" xr:uid="{880B06EC-D022-7740-A49D-D0DC0B1E474B}"/>
    <hyperlink ref="B51" r:id="rId11" display="https://www.southcarolina-demographics.com/aiken-county-demographics" xr:uid="{5408BAF8-6F5D-304E-9AB4-43B9B274FB2B}"/>
    <hyperlink ref="B67" r:id="rId12" display="https://www.southcarolina-demographics.com/dorchester-county-demographics" xr:uid="{1A9BF5B2-5117-CC43-9AD9-F2871C21CE6E}"/>
    <hyperlink ref="B70" r:id="rId13" display="https://www.southcarolina-demographics.com/florence-county-demographics" xr:uid="{EEE22973-C261-4148-B56A-44093733E5AB}"/>
    <hyperlink ref="B88" r:id="rId14" display="https://www.southcarolina-demographics.com/pickens-county-demographics" xr:uid="{C0AD004F-0B3E-734A-9C5F-BF0E35B0521D}"/>
    <hyperlink ref="B92" r:id="rId15" display="https://www.southcarolina-demographics.com/sumter-county-demographics" xr:uid="{3E3C7018-F377-7345-9FC2-8BA143CA8594}"/>
    <hyperlink ref="B78" r:id="rId16" display="https://www.southcarolina-demographics.com/lancaster-county-demographics" xr:uid="{CE241732-C186-C845-8333-E5345E3F189F}"/>
    <hyperlink ref="B87" r:id="rId17" display="https://www.southcarolina-demographics.com/orangeburg-county-demographics" xr:uid="{37930D85-275D-B840-9FA8-636960610B4D}"/>
    <hyperlink ref="B86" r:id="rId18" display="https://www.southcarolina-demographics.com/oconee-county-demographics" xr:uid="{C5EE4152-993B-5F4C-9342-766B26C74107}"/>
    <hyperlink ref="B73" r:id="rId19" display="https://www.southcarolina-demographics.com/greenwood-county-demographics" xr:uid="{AD6957A5-7208-6F42-BED9-079BC64AC56F}"/>
    <hyperlink ref="B79" r:id="rId20" display="https://www.southcarolina-demographics.com/laurens-county-demographics" xr:uid="{4EBBEAD1-81E2-BD47-91CF-B641A81F0213}"/>
    <hyperlink ref="B65" r:id="rId21" display="https://www.southcarolina-demographics.com/darlington-county-demographics" xr:uid="{A186DDDB-C4C3-6E44-A49E-7A505C97EE31}"/>
    <hyperlink ref="B77" r:id="rId22" display="https://www.southcarolina-demographics.com/kershaw-county-demographics" xr:uid="{942F1A00-1532-3647-8C00-0908FB3C2FC4}"/>
    <hyperlink ref="B71" r:id="rId23" display="https://www.southcarolina-demographics.com/georgetown-county-demographics" xr:uid="{7A241C25-114F-0446-B55E-96023C803887}"/>
    <hyperlink ref="B60" r:id="rId24" display="https://www.southcarolina-demographics.com/cherokee-county-demographics" xr:uid="{F20AB606-5A82-5147-9A8F-BF236DE8D1D8}"/>
    <hyperlink ref="B62" r:id="rId25" display="https://www.southcarolina-demographics.com/chesterfield-county-demographics" xr:uid="{01CB7D99-9DF8-D942-AE15-7E0B36696C76}"/>
    <hyperlink ref="B85" r:id="rId26" display="https://www.southcarolina-demographics.com/newberry-county-demographics" xr:uid="{2A0D9105-D7EA-B647-8C28-FA36ED987D62}"/>
    <hyperlink ref="B64" r:id="rId27" display="https://www.southcarolina-demographics.com/colleton-county-demographics" xr:uid="{8727FC50-E0A8-6145-9177-4ADC0ADE3F31}"/>
    <hyperlink ref="B63" r:id="rId28" display="https://www.southcarolina-demographics.com/clarendon-county-demographics" xr:uid="{D1C71A86-7820-7D4F-B09A-3FD6A5EA39EE}"/>
    <hyperlink ref="B61" r:id="rId29" display="https://www.southcarolina-demographics.com/chester-county-demographics" xr:uid="{3BC840B2-544C-9E40-B0BC-8D6568F20F6F}"/>
    <hyperlink ref="B82" r:id="rId30" display="https://www.southcarolina-demographics.com/marion-county-demographics" xr:uid="{101EB333-A3A3-9E46-870E-3A8FD9CD24A9}"/>
    <hyperlink ref="B94" r:id="rId31" display="https://www.southcarolina-demographics.com/williamsburg-county-demographics" xr:uid="{B933C671-A7DA-BD48-A06D-51CC7FCAF012}"/>
    <hyperlink ref="B66" r:id="rId32" display="https://www.southcarolina-demographics.com/dillon-county-demographics" xr:uid="{C8366AAB-82D6-9D44-915E-72753F45F570}"/>
    <hyperlink ref="B76" r:id="rId33" display="https://www.southcarolina-demographics.com/jasper-county-demographics" xr:uid="{5F3C20DF-8364-B148-B6F5-752ECF8DFFD4}"/>
    <hyperlink ref="B93" r:id="rId34" display="https://www.southcarolina-demographics.com/union-county-demographics" xr:uid="{EDAE2A65-A1BA-2C42-AD0A-4CC263D70524}"/>
    <hyperlink ref="B68" r:id="rId35" display="https://www.southcarolina-demographics.com/edgefield-county-demographics" xr:uid="{F07CE777-0B22-854E-AB6C-6F73368E3D3E}"/>
    <hyperlink ref="B83" r:id="rId36" display="https://www.southcarolina-demographics.com/marlboro-county-demographics" xr:uid="{B2FCE81C-D7F6-E949-A2A0-2870027451C1}"/>
    <hyperlink ref="B50" r:id="rId37" display="https://www.southcarolina-demographics.com/abbeville-county-demographics" xr:uid="{051712F2-68AA-E447-8C21-992BD4F2C6BC}"/>
    <hyperlink ref="B69" r:id="rId38" display="https://www.southcarolina-demographics.com/fairfield-county-demographics" xr:uid="{24C36D32-2144-374D-9DB2-9549D76B2A69}"/>
    <hyperlink ref="B55" r:id="rId39" display="https://www.southcarolina-demographics.com/barnwell-county-demographics" xr:uid="{A6ABB7C7-7B24-0841-9C2F-B4AFB93CF7EB}"/>
    <hyperlink ref="B90" r:id="rId40" display="https://www.southcarolina-demographics.com/saluda-county-demographics" xr:uid="{E8FA7AD3-7E28-6043-BC27-BAF46F9D5B71}"/>
    <hyperlink ref="B74" r:id="rId41" display="https://www.southcarolina-demographics.com/hampton-county-demographics" xr:uid="{AE71C98F-2A30-0D4B-BD21-D4A72D8A3183}"/>
    <hyperlink ref="B80" r:id="rId42" display="https://www.southcarolina-demographics.com/lee-county-demographics" xr:uid="{CD24F79F-C5FB-3D45-AD55-95BBD2057FA8}"/>
    <hyperlink ref="B58" r:id="rId43" display="https://www.southcarolina-demographics.com/calhoun-county-demographics" xr:uid="{4BC5C563-7E12-7A49-A8A2-EB0C9AD5FEFE}"/>
    <hyperlink ref="B54" r:id="rId44" display="https://www.southcarolina-demographics.com/bamberg-county-demographics" xr:uid="{D799B01E-1A5F-EA4E-92A9-EDE657592C25}"/>
    <hyperlink ref="B84" r:id="rId45" display="https://www.southcarolina-demographics.com/mccormick-county-demographics" xr:uid="{587F4DD5-E89C-CE47-9DE7-4318B743AB5D}"/>
    <hyperlink ref="B52" r:id="rId46" display="https://www.southcarolina-demographics.com/allendale-county-demographics" xr:uid="{EB47728D-33D8-5644-9DAB-52A757E2E5A8}"/>
  </hyperlinks>
  <pageMargins left="0.7" right="0.7" top="0.75" bottom="0.75" header="0.3" footer="0.3"/>
  <tableParts count="3">
    <tablePart r:id="rId47"/>
    <tablePart r:id="rId48"/>
    <tablePart r:id="rId49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A305-E57F-E74B-AE33-6B6D81EE2278}">
  <dimension ref="A1:Q61"/>
  <sheetViews>
    <sheetView topLeftCell="B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</cols>
  <sheetData>
    <row r="1" spans="1:17" ht="21">
      <c r="A1" s="95" t="s">
        <v>64</v>
      </c>
      <c r="B1" s="95" t="s">
        <v>1674</v>
      </c>
      <c r="C1" s="95" t="s">
        <v>2285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2849</v>
      </c>
      <c r="B2" s="78" t="s">
        <v>297</v>
      </c>
      <c r="C2" s="78">
        <v>35</v>
      </c>
      <c r="D2" s="78">
        <f>Table91[[#This Row],[2014]]/C33</f>
        <v>5.3078556263269636E-3</v>
      </c>
      <c r="F2" s="16" t="s">
        <v>2651</v>
      </c>
      <c r="G2" s="17">
        <v>2695</v>
      </c>
      <c r="H2" s="80">
        <f>Table92[[#This Row],[TRUMP VOTES]]/C33</f>
        <v>0.40870488322717624</v>
      </c>
      <c r="I2" s="18">
        <v>0.86899999999999999</v>
      </c>
      <c r="J2" s="19">
        <v>357</v>
      </c>
      <c r="K2" s="80">
        <f>Table92[[#This Row],[BIDEN VOTES]]/C33</f>
        <v>5.4140127388535034E-2</v>
      </c>
      <c r="L2" s="18">
        <v>0.115</v>
      </c>
      <c r="M2" s="80">
        <f>1-(Table92[[#This Row],[NbP2]]+Table92[[#This Row],[NbP]])</f>
        <v>0.53715498938428874</v>
      </c>
      <c r="O2" t="s">
        <v>1671</v>
      </c>
      <c r="P2">
        <f>CORREL(D:D,H:H)</f>
        <v>0.57076213042664192</v>
      </c>
      <c r="Q2">
        <v>0.1</v>
      </c>
    </row>
    <row r="3" spans="1:17" ht="20">
      <c r="A3" s="78" t="s">
        <v>2850</v>
      </c>
      <c r="B3" s="78" t="s">
        <v>297</v>
      </c>
      <c r="C3" s="78">
        <v>191</v>
      </c>
      <c r="D3" s="78">
        <f>Table91[[#This Row],[2014]]/C34</f>
        <v>3.4756974141539132E-3</v>
      </c>
      <c r="F3" s="16" t="s">
        <v>2868</v>
      </c>
      <c r="G3" s="17">
        <v>21548</v>
      </c>
      <c r="H3" s="80">
        <f>Table92[[#This Row],[TRUMP VOTES]]/C34</f>
        <v>0.39211689989627502</v>
      </c>
      <c r="I3" s="18">
        <v>0.79700000000000004</v>
      </c>
      <c r="J3" s="17">
        <v>4473</v>
      </c>
      <c r="K3" s="80">
        <f>Table92[[#This Row],[BIDEN VOTES]]/C34</f>
        <v>8.1396830018379343E-2</v>
      </c>
      <c r="L3" s="18">
        <v>0.16600000000000001</v>
      </c>
      <c r="M3" s="80">
        <f>1-(Table92[[#This Row],[NbP2]]+Table92[[#This Row],[NbP]])</f>
        <v>0.52648627008534565</v>
      </c>
      <c r="O3" t="s">
        <v>1672</v>
      </c>
      <c r="P3" s="37">
        <f>CORREL(D:D,K:K)</f>
        <v>-2.2688651428970724E-2</v>
      </c>
      <c r="Q3" s="1">
        <v>0.1</v>
      </c>
    </row>
    <row r="4" spans="1:17" ht="20">
      <c r="A4" s="78" t="s">
        <v>2851</v>
      </c>
      <c r="B4" s="78" t="s">
        <v>297</v>
      </c>
      <c r="C4" s="78">
        <v>354</v>
      </c>
      <c r="D4" s="78">
        <f>Table91[[#This Row],[2014]]/C35</f>
        <v>2.8020516717325228E-3</v>
      </c>
      <c r="F4" s="16" t="s">
        <v>2869</v>
      </c>
      <c r="G4" s="17">
        <v>38032</v>
      </c>
      <c r="H4" s="80">
        <f>Table92[[#This Row],[TRUMP VOTES]]/C35</f>
        <v>0.30103850050658559</v>
      </c>
      <c r="I4" s="18">
        <v>0.66100000000000003</v>
      </c>
      <c r="J4" s="17">
        <v>16650</v>
      </c>
      <c r="K4" s="80">
        <f>Table92[[#This Row],[BIDEN VOTES]]/C35</f>
        <v>0.13179141337386019</v>
      </c>
      <c r="L4" s="18">
        <v>0.28899999999999998</v>
      </c>
      <c r="M4" s="80">
        <f>1-(Table92[[#This Row],[NbP2]]+Table92[[#This Row],[NbP]])</f>
        <v>0.56717008611955422</v>
      </c>
      <c r="O4" t="s">
        <v>1679</v>
      </c>
      <c r="P4">
        <f>CORREL(D:D,M:M)</f>
        <v>-0.56452885754047932</v>
      </c>
      <c r="Q4" s="1">
        <v>0.1</v>
      </c>
    </row>
    <row r="5" spans="1:17" ht="20">
      <c r="A5" s="78" t="s">
        <v>2852</v>
      </c>
      <c r="B5" s="78" t="s">
        <v>297</v>
      </c>
      <c r="C5" s="78">
        <v>160</v>
      </c>
      <c r="D5" s="78">
        <f>Table91[[#This Row],[2014]]/C36</f>
        <v>7.8427528062349882E-3</v>
      </c>
      <c r="F5" s="16" t="s">
        <v>2769</v>
      </c>
      <c r="G5" s="17">
        <v>6693</v>
      </c>
      <c r="H5" s="80">
        <f>Table92[[#This Row],[TRUMP VOTES]]/C36</f>
        <v>0.32807215332581735</v>
      </c>
      <c r="I5" s="18">
        <v>0.71399999999999997</v>
      </c>
      <c r="J5" s="17">
        <v>2392</v>
      </c>
      <c r="K5" s="80">
        <f>Table92[[#This Row],[BIDEN VOTES]]/C36</f>
        <v>0.11724915445321307</v>
      </c>
      <c r="L5" s="18">
        <v>0.255</v>
      </c>
      <c r="M5" s="80">
        <f>1-(Table92[[#This Row],[NbP2]]+Table92[[#This Row],[NbP]])</f>
        <v>0.55467869222096955</v>
      </c>
    </row>
    <row r="6" spans="1:17" ht="20">
      <c r="A6" s="78" t="s">
        <v>2853</v>
      </c>
      <c r="B6" s="78" t="s">
        <v>297</v>
      </c>
      <c r="C6" s="78">
        <v>10</v>
      </c>
      <c r="D6" s="78">
        <f>Table91[[#This Row],[2014]]/C37</f>
        <v>1.6949152542372881E-2</v>
      </c>
      <c r="F6" s="16" t="s">
        <v>2870</v>
      </c>
      <c r="G6" s="19">
        <v>496</v>
      </c>
      <c r="H6" s="80">
        <f>Table92[[#This Row],[TRUMP VOTES]]/C37</f>
        <v>0.84067796610169487</v>
      </c>
      <c r="I6" s="18">
        <v>0.80100000000000005</v>
      </c>
      <c r="J6" s="19">
        <v>111</v>
      </c>
      <c r="K6" s="80">
        <f>Table92[[#This Row],[BIDEN VOTES]]/C37</f>
        <v>0.18813559322033899</v>
      </c>
      <c r="L6" s="18">
        <v>0.17899999999999999</v>
      </c>
      <c r="M6" s="80">
        <f>1-(Table92[[#This Row],[NbP2]]+Table92[[#This Row],[NbP]])</f>
        <v>-2.8813559322033777E-2</v>
      </c>
    </row>
    <row r="7" spans="1:17" ht="20">
      <c r="A7" s="78" t="s">
        <v>1500</v>
      </c>
      <c r="B7" s="78" t="s">
        <v>297</v>
      </c>
      <c r="C7" s="78">
        <v>723</v>
      </c>
      <c r="D7" s="78">
        <f>Table91[[#This Row],[2014]]/C38</f>
        <v>2.061232577167929E-3</v>
      </c>
      <c r="F7" s="16" t="s">
        <v>1542</v>
      </c>
      <c r="G7" s="17">
        <v>104135</v>
      </c>
      <c r="H7" s="80">
        <f>Table92[[#This Row],[TRUMP VOTES]]/C38</f>
        <v>0.29688306282625493</v>
      </c>
      <c r="I7" s="18">
        <v>0.61299999999999999</v>
      </c>
      <c r="J7" s="17">
        <v>57411</v>
      </c>
      <c r="K7" s="80">
        <f>Table92[[#This Row],[BIDEN VOTES]]/C38</f>
        <v>0.16367555115876622</v>
      </c>
      <c r="L7" s="18">
        <v>0.33800000000000002</v>
      </c>
      <c r="M7" s="80">
        <f>1-(Table92[[#This Row],[NbP2]]+Table92[[#This Row],[NbP]])</f>
        <v>0.53944138601497882</v>
      </c>
    </row>
    <row r="8" spans="1:17" ht="20">
      <c r="A8" s="78" t="s">
        <v>2854</v>
      </c>
      <c r="B8" s="78" t="s">
        <v>297</v>
      </c>
      <c r="C8" s="78">
        <v>186</v>
      </c>
      <c r="D8" s="78">
        <f>Table91[[#This Row],[2014]]/C39</f>
        <v>9.3233082706766918E-3</v>
      </c>
      <c r="F8" s="16" t="s">
        <v>2871</v>
      </c>
      <c r="G8" s="17">
        <v>7513</v>
      </c>
      <c r="H8" s="80">
        <f>Table92[[#This Row],[TRUMP VOTES]]/C39</f>
        <v>0.37659147869674187</v>
      </c>
      <c r="I8" s="18">
        <v>0.88100000000000001</v>
      </c>
      <c r="J8" s="19">
        <v>843</v>
      </c>
      <c r="K8" s="80">
        <f>Table92[[#This Row],[BIDEN VOTES]]/C39</f>
        <v>4.2255639097744359E-2</v>
      </c>
      <c r="L8" s="18">
        <v>9.9000000000000005E-2</v>
      </c>
      <c r="M8" s="80">
        <f>1-(Table92[[#This Row],[NbP2]]+Table92[[#This Row],[NbP]])</f>
        <v>0.58115288220551375</v>
      </c>
    </row>
    <row r="9" spans="1:17" ht="20">
      <c r="A9" s="78" t="s">
        <v>2855</v>
      </c>
      <c r="B9" s="78" t="s">
        <v>297</v>
      </c>
      <c r="C9" s="78">
        <v>46</v>
      </c>
      <c r="D9" s="78">
        <f>Table91[[#This Row],[2014]]/C40</f>
        <v>4.5549064263788498E-3</v>
      </c>
      <c r="F9" s="16" t="s">
        <v>2872</v>
      </c>
      <c r="G9" s="17">
        <v>4207</v>
      </c>
      <c r="H9" s="80">
        <f>Table92[[#This Row],[TRUMP VOTES]]/C40</f>
        <v>0.41657589860382216</v>
      </c>
      <c r="I9" s="18">
        <v>0.86499999999999999</v>
      </c>
      <c r="J9" s="19">
        <v>572</v>
      </c>
      <c r="K9" s="80">
        <f>Table92[[#This Row],[BIDEN VOTES]]/C40</f>
        <v>5.6639271214971781E-2</v>
      </c>
      <c r="L9" s="18">
        <v>0.11799999999999999</v>
      </c>
      <c r="M9" s="80">
        <f>1-(Table92[[#This Row],[NbP2]]+Table92[[#This Row],[NbP]])</f>
        <v>0.52678483018120603</v>
      </c>
    </row>
    <row r="10" spans="1:17" ht="20">
      <c r="A10" s="78" t="s">
        <v>1114</v>
      </c>
      <c r="B10" s="78" t="s">
        <v>297</v>
      </c>
      <c r="C10" s="78">
        <v>9</v>
      </c>
      <c r="D10" s="78">
        <f>Table91[[#This Row],[2014]]/C41</f>
        <v>1.8E-3</v>
      </c>
      <c r="F10" s="16" t="s">
        <v>1163</v>
      </c>
      <c r="G10" s="17">
        <v>2158</v>
      </c>
      <c r="H10" s="80">
        <f>Table92[[#This Row],[TRUMP VOTES]]/C41</f>
        <v>0.43159999999999998</v>
      </c>
      <c r="I10" s="18">
        <v>0.79</v>
      </c>
      <c r="J10" s="19">
        <v>514</v>
      </c>
      <c r="K10" s="80">
        <f>Table92[[#This Row],[BIDEN VOTES]]/C41</f>
        <v>0.1028</v>
      </c>
      <c r="L10" s="18">
        <v>0.188</v>
      </c>
      <c r="M10" s="80">
        <f>1-(Table92[[#This Row],[NbP2]]+Table92[[#This Row],[NbP]])</f>
        <v>0.46560000000000001</v>
      </c>
    </row>
    <row r="11" spans="1:17" ht="20">
      <c r="A11" s="78" t="s">
        <v>2856</v>
      </c>
      <c r="B11" s="78" t="s">
        <v>297</v>
      </c>
      <c r="C11" s="78">
        <v>52</v>
      </c>
      <c r="D11" s="78">
        <f>Table91[[#This Row],[2014]]/C42</f>
        <v>5.3619302949061663E-3</v>
      </c>
      <c r="F11" s="16" t="s">
        <v>1165</v>
      </c>
      <c r="G11" s="17">
        <v>2248</v>
      </c>
      <c r="H11" s="80">
        <f>Table92[[#This Row],[TRUMP VOTES]]/C42</f>
        <v>0.23180037121055888</v>
      </c>
      <c r="I11" s="18">
        <v>0.434</v>
      </c>
      <c r="J11" s="17">
        <v>2806</v>
      </c>
      <c r="K11" s="80">
        <f>Table92[[#This Row],[BIDEN VOTES]]/C42</f>
        <v>0.28933800783666735</v>
      </c>
      <c r="L11" s="18">
        <v>0.54100000000000004</v>
      </c>
      <c r="M11" s="80">
        <f>1-(Table92[[#This Row],[NbP2]]+Table92[[#This Row],[NbP]])</f>
        <v>0.47886162095277374</v>
      </c>
    </row>
    <row r="12" spans="1:17" ht="20">
      <c r="A12" s="78" t="s">
        <v>1776</v>
      </c>
      <c r="B12" s="78" t="s">
        <v>297</v>
      </c>
      <c r="C12" s="78">
        <v>239</v>
      </c>
      <c r="D12" s="78">
        <f>Table91[[#This Row],[2014]]/C43</f>
        <v>4.4968766463460525E-3</v>
      </c>
      <c r="F12" s="16" t="s">
        <v>1841</v>
      </c>
      <c r="G12" s="17">
        <v>18989</v>
      </c>
      <c r="H12" s="80">
        <f>Table92[[#This Row],[TRUMP VOTES]]/C43</f>
        <v>0.35728531647474976</v>
      </c>
      <c r="I12" s="18">
        <v>0.76300000000000001</v>
      </c>
      <c r="J12" s="17">
        <v>4892</v>
      </c>
      <c r="K12" s="80">
        <f>Table92[[#This Row],[BIDEN VOTES]]/C43</f>
        <v>9.2044855874162709E-2</v>
      </c>
      <c r="L12" s="18">
        <v>0.19700000000000001</v>
      </c>
      <c r="M12" s="80">
        <f>1-(Table92[[#This Row],[NbP2]]+Table92[[#This Row],[NbP]])</f>
        <v>0.55066982765108752</v>
      </c>
    </row>
    <row r="13" spans="1:17" ht="20">
      <c r="A13" s="78" t="s">
        <v>2857</v>
      </c>
      <c r="B13" s="78" t="s">
        <v>297</v>
      </c>
      <c r="C13" s="78">
        <v>62</v>
      </c>
      <c r="D13" s="78">
        <f>Table91[[#This Row],[2014]]/C44</f>
        <v>5.3342510539447644E-3</v>
      </c>
      <c r="F13" s="16" t="s">
        <v>2873</v>
      </c>
      <c r="G13" s="17">
        <v>5087</v>
      </c>
      <c r="H13" s="80">
        <f>Table92[[#This Row],[TRUMP VOTES]]/C44</f>
        <v>0.43766669534543579</v>
      </c>
      <c r="I13" s="18">
        <v>0.86699999999999999</v>
      </c>
      <c r="J13" s="19">
        <v>645</v>
      </c>
      <c r="K13" s="80">
        <f>Table92[[#This Row],[BIDEN VOTES]]/C44</f>
        <v>5.549341822248989E-2</v>
      </c>
      <c r="L13" s="18">
        <v>0.11</v>
      </c>
      <c r="M13" s="80">
        <f>1-(Table92[[#This Row],[NbP2]]+Table92[[#This Row],[NbP]])</f>
        <v>0.50683988643207434</v>
      </c>
    </row>
    <row r="14" spans="1:17" ht="20">
      <c r="A14" s="78" t="s">
        <v>2858</v>
      </c>
      <c r="B14" s="78" t="s">
        <v>297</v>
      </c>
      <c r="C14" s="78">
        <v>31</v>
      </c>
      <c r="D14" s="78">
        <f>Table91[[#This Row],[2014]]/C45</f>
        <v>4.0480543222773573E-3</v>
      </c>
      <c r="F14" s="16" t="s">
        <v>2874</v>
      </c>
      <c r="G14" s="17">
        <v>2998</v>
      </c>
      <c r="H14" s="80">
        <f>Table92[[#This Row],[TRUMP VOTES]]/C45</f>
        <v>0.3914860276834683</v>
      </c>
      <c r="I14" s="18">
        <v>0.71699999999999997</v>
      </c>
      <c r="J14" s="17">
        <v>1083</v>
      </c>
      <c r="K14" s="80">
        <f>Table92[[#This Row],[BIDEN VOTES]]/C45</f>
        <v>0.14142073648472187</v>
      </c>
      <c r="L14" s="18">
        <v>0.25900000000000001</v>
      </c>
      <c r="M14" s="80">
        <f>1-(Table92[[#This Row],[NbP2]]+Table92[[#This Row],[NbP]])</f>
        <v>0.46709323583180984</v>
      </c>
    </row>
    <row r="15" spans="1:17" ht="20">
      <c r="A15" s="78" t="s">
        <v>2859</v>
      </c>
      <c r="B15" s="78" t="s">
        <v>297</v>
      </c>
      <c r="C15" s="78">
        <v>51</v>
      </c>
      <c r="D15" s="78">
        <f>Table91[[#This Row],[2014]]/C46</f>
        <v>3.9342744735015043E-3</v>
      </c>
      <c r="F15" s="16" t="s">
        <v>2875</v>
      </c>
      <c r="G15" s="17">
        <v>5404</v>
      </c>
      <c r="H15" s="80">
        <f>Table92[[#This Row],[TRUMP VOTES]]/C46</f>
        <v>0.4168788089176888</v>
      </c>
      <c r="I15" s="18">
        <v>0.877</v>
      </c>
      <c r="J15" s="19">
        <v>624</v>
      </c>
      <c r="K15" s="80">
        <f>Table92[[#This Row],[BIDEN VOTES]]/C46</f>
        <v>4.8137005322841937E-2</v>
      </c>
      <c r="L15" s="18">
        <v>0.10100000000000001</v>
      </c>
      <c r="M15" s="80">
        <f>1-(Table92[[#This Row],[NbP2]]+Table92[[#This Row],[NbP]])</f>
        <v>0.53498418575946927</v>
      </c>
    </row>
    <row r="16" spans="1:17" ht="20">
      <c r="A16" s="78" t="s">
        <v>135</v>
      </c>
      <c r="B16" s="78" t="s">
        <v>297</v>
      </c>
      <c r="C16" s="78">
        <v>9</v>
      </c>
      <c r="D16" s="78">
        <f>Table91[[#This Row],[2014]]/C47</f>
        <v>7.5313807531380758E-4</v>
      </c>
      <c r="F16" s="16" t="s">
        <v>234</v>
      </c>
      <c r="G16" s="17">
        <v>5181</v>
      </c>
      <c r="H16" s="80">
        <f>Table92[[#This Row],[TRUMP VOTES]]/C47</f>
        <v>0.43355648535564856</v>
      </c>
      <c r="I16" s="18">
        <v>0.79600000000000004</v>
      </c>
      <c r="J16" s="17">
        <v>1086</v>
      </c>
      <c r="K16" s="80">
        <f>Table92[[#This Row],[BIDEN VOTES]]/C47</f>
        <v>9.0878661087866103E-2</v>
      </c>
      <c r="L16" s="18">
        <v>0.16700000000000001</v>
      </c>
      <c r="M16" s="80">
        <f>1-(Table92[[#This Row],[NbP2]]+Table92[[#This Row],[NbP]])</f>
        <v>0.47556485355648537</v>
      </c>
    </row>
    <row r="17" spans="1:13" ht="20">
      <c r="A17" s="78" t="s">
        <v>2860</v>
      </c>
      <c r="B17" s="78" t="s">
        <v>297</v>
      </c>
      <c r="C17" s="78">
        <v>0</v>
      </c>
      <c r="D17" s="78">
        <f>Table91[[#This Row],[2014]]/C48</f>
        <v>0</v>
      </c>
      <c r="F17" s="16" t="s">
        <v>2876</v>
      </c>
      <c r="G17" s="19">
        <v>773</v>
      </c>
      <c r="H17" s="80">
        <f>Table92[[#This Row],[TRUMP VOTES]]/C48</f>
        <v>0.41336898395721927</v>
      </c>
      <c r="I17" s="18">
        <v>0.88700000000000001</v>
      </c>
      <c r="J17" s="19">
        <v>86</v>
      </c>
      <c r="K17" s="80">
        <f>Table92[[#This Row],[BIDEN VOTES]]/C48</f>
        <v>4.5989304812834225E-2</v>
      </c>
      <c r="L17" s="18">
        <v>9.9000000000000005E-2</v>
      </c>
      <c r="M17" s="80">
        <f>1-(Table92[[#This Row],[NbP2]]+Table92[[#This Row],[NbP]])</f>
        <v>0.54064171122994653</v>
      </c>
    </row>
    <row r="18" spans="1:13" ht="20">
      <c r="A18" s="78" t="s">
        <v>2861</v>
      </c>
      <c r="B18" s="78" t="s">
        <v>297</v>
      </c>
      <c r="C18" s="78">
        <v>10</v>
      </c>
      <c r="D18" s="78">
        <f>Table91[[#This Row],[2014]]/C49</f>
        <v>4.140786749482402E-3</v>
      </c>
      <c r="F18" s="16" t="s">
        <v>2877</v>
      </c>
      <c r="G18" s="17">
        <v>1157</v>
      </c>
      <c r="H18" s="80">
        <f>Table92[[#This Row],[TRUMP VOTES]]/C49</f>
        <v>0.47908902691511385</v>
      </c>
      <c r="I18" s="18">
        <v>0.84899999999999998</v>
      </c>
      <c r="J18" s="19">
        <v>180</v>
      </c>
      <c r="K18" s="80">
        <f>Table92[[#This Row],[BIDEN VOTES]]/C49</f>
        <v>7.4534161490683232E-2</v>
      </c>
      <c r="L18" s="18">
        <v>0.13200000000000001</v>
      </c>
      <c r="M18" s="80">
        <f>1-(Table92[[#This Row],[NbP2]]+Table92[[#This Row],[NbP]])</f>
        <v>0.44637681159420295</v>
      </c>
    </row>
    <row r="19" spans="1:13" ht="20">
      <c r="A19" s="78" t="s">
        <v>2862</v>
      </c>
      <c r="B19" s="78" t="s">
        <v>297</v>
      </c>
      <c r="C19" s="94">
        <v>3725</v>
      </c>
      <c r="D19" s="78">
        <f>Table91[[#This Row],[2014]]/C50</f>
        <v>3.2498266032114395E-3</v>
      </c>
      <c r="F19" s="16" t="s">
        <v>2878</v>
      </c>
      <c r="G19" s="17">
        <v>230174</v>
      </c>
      <c r="H19" s="80">
        <f>Table92[[#This Row],[TRUMP VOTES]]/C50</f>
        <v>0.20081223854163485</v>
      </c>
      <c r="I19" s="18">
        <v>0.42499999999999999</v>
      </c>
      <c r="J19" s="17">
        <v>289906</v>
      </c>
      <c r="K19" s="80">
        <f>Table92[[#This Row],[BIDEN VOTES]]/C50</f>
        <v>0.25292462583372227</v>
      </c>
      <c r="L19" s="18">
        <v>0.53600000000000003</v>
      </c>
      <c r="M19" s="80">
        <f>1-(Table92[[#This Row],[NbP2]]+Table92[[#This Row],[NbP]])</f>
        <v>0.5462631356246429</v>
      </c>
    </row>
    <row r="20" spans="1:13" ht="20">
      <c r="A20" s="78" t="s">
        <v>2327</v>
      </c>
      <c r="B20" s="78" t="s">
        <v>297</v>
      </c>
      <c r="C20" s="78">
        <v>38</v>
      </c>
      <c r="D20" s="78">
        <f>Table91[[#This Row],[2014]]/C51</f>
        <v>2.4844720496894411E-3</v>
      </c>
      <c r="F20" s="16" t="s">
        <v>1188</v>
      </c>
      <c r="G20" s="17">
        <v>3535</v>
      </c>
      <c r="H20" s="80">
        <f>Table92[[#This Row],[TRUMP VOTES]]/C51</f>
        <v>0.2311212814645309</v>
      </c>
      <c r="I20" s="18">
        <v>0.51400000000000001</v>
      </c>
      <c r="J20" s="17">
        <v>3113</v>
      </c>
      <c r="K20" s="80">
        <f>Table92[[#This Row],[BIDEN VOTES]]/C51</f>
        <v>0.20353056554429552</v>
      </c>
      <c r="L20" s="18">
        <v>0.45300000000000001</v>
      </c>
      <c r="M20" s="80">
        <f>1-(Table92[[#This Row],[NbP2]]+Table92[[#This Row],[NbP]])</f>
        <v>0.56534815299117358</v>
      </c>
    </row>
    <row r="21" spans="1:13" ht="20">
      <c r="A21" s="78" t="s">
        <v>2863</v>
      </c>
      <c r="B21" s="78" t="s">
        <v>297</v>
      </c>
      <c r="C21" s="78">
        <v>97</v>
      </c>
      <c r="D21" s="78">
        <f>Table91[[#This Row],[2014]]/C52</f>
        <v>3.1885868314651062E-3</v>
      </c>
      <c r="F21" s="16" t="s">
        <v>2879</v>
      </c>
      <c r="G21" s="17">
        <v>10459</v>
      </c>
      <c r="H21" s="80">
        <f>Table92[[#This Row],[TRUMP VOTES]]/C52</f>
        <v>0.34380855330199533</v>
      </c>
      <c r="I21" s="18">
        <v>0.82799999999999996</v>
      </c>
      <c r="J21" s="17">
        <v>1794</v>
      </c>
      <c r="K21" s="80">
        <f>Table92[[#This Row],[BIDEN VOTES]]/C52</f>
        <v>5.8972420367509285E-2</v>
      </c>
      <c r="L21" s="18">
        <v>0.14199999999999999</v>
      </c>
      <c r="M21" s="80">
        <f>1-(Table92[[#This Row],[NbP2]]+Table92[[#This Row],[NbP]])</f>
        <v>0.59721902633049539</v>
      </c>
    </row>
    <row r="22" spans="1:13" ht="20">
      <c r="A22" s="78" t="s">
        <v>148</v>
      </c>
      <c r="B22" s="78" t="s">
        <v>297</v>
      </c>
      <c r="C22" s="78">
        <v>91</v>
      </c>
      <c r="D22" s="78">
        <f>Table91[[#This Row],[2014]]/C53</f>
        <v>4.2374854481955762E-3</v>
      </c>
      <c r="F22" s="16" t="s">
        <v>247</v>
      </c>
      <c r="G22" s="17">
        <v>9052</v>
      </c>
      <c r="H22" s="80">
        <f>Table92[[#This Row],[TRUMP VOTES]]/C53</f>
        <v>0.42151338766006985</v>
      </c>
      <c r="I22" s="18">
        <v>0.874</v>
      </c>
      <c r="J22" s="17">
        <v>1084</v>
      </c>
      <c r="K22" s="80">
        <f>Table92[[#This Row],[BIDEN VOTES]]/C53</f>
        <v>5.0477299185098953E-2</v>
      </c>
      <c r="L22" s="18">
        <v>0.105</v>
      </c>
      <c r="M22" s="80">
        <f>1-(Table92[[#This Row],[NbP2]]+Table92[[#This Row],[NbP]])</f>
        <v>0.52800931315483113</v>
      </c>
    </row>
    <row r="23" spans="1:13" ht="20">
      <c r="A23" s="78" t="s">
        <v>1141</v>
      </c>
      <c r="B23" s="78" t="s">
        <v>297</v>
      </c>
      <c r="C23" s="78">
        <v>90</v>
      </c>
      <c r="D23" s="78">
        <f>Table91[[#This Row],[2014]]/C54</f>
        <v>2.1593090211132438E-3</v>
      </c>
      <c r="F23" s="16" t="s">
        <v>1191</v>
      </c>
      <c r="G23" s="17">
        <v>10252</v>
      </c>
      <c r="H23" s="80">
        <f>Table92[[#This Row],[TRUMP VOTES]]/C54</f>
        <v>0.24596928982725527</v>
      </c>
      <c r="I23" s="18">
        <v>0.39300000000000002</v>
      </c>
      <c r="J23" s="17">
        <v>15244</v>
      </c>
      <c r="K23" s="80">
        <f>Table92[[#This Row],[BIDEN VOTES]]/C54</f>
        <v>0.36573896353166985</v>
      </c>
      <c r="L23" s="18">
        <v>0.58399999999999996</v>
      </c>
      <c r="M23" s="80">
        <f>1-(Table92[[#This Row],[NbP2]]+Table92[[#This Row],[NbP]])</f>
        <v>0.38829174664107491</v>
      </c>
    </row>
    <row r="24" spans="1:13" ht="20">
      <c r="A24" s="78" t="s">
        <v>2864</v>
      </c>
      <c r="B24" s="78" t="s">
        <v>297</v>
      </c>
      <c r="C24" s="78">
        <v>193</v>
      </c>
      <c r="D24" s="78">
        <f>Table91[[#This Row],[2014]]/C55</f>
        <v>2.7674218525953541E-3</v>
      </c>
      <c r="F24" s="16" t="s">
        <v>2880</v>
      </c>
      <c r="G24" s="17">
        <v>21014</v>
      </c>
      <c r="H24" s="80">
        <f>Table92[[#This Row],[TRUMP VOTES]]/C55</f>
        <v>0.30131918554631487</v>
      </c>
      <c r="I24" s="18">
        <v>0.66700000000000004</v>
      </c>
      <c r="J24" s="17">
        <v>8943</v>
      </c>
      <c r="K24" s="80">
        <f>Table92[[#This Row],[BIDEN VOTES]]/C55</f>
        <v>0.12823343848580443</v>
      </c>
      <c r="L24" s="18">
        <v>0.28399999999999997</v>
      </c>
      <c r="M24" s="80">
        <f>1-(Table92[[#This Row],[NbP2]]+Table92[[#This Row],[NbP]])</f>
        <v>0.57044737596788075</v>
      </c>
    </row>
    <row r="25" spans="1:13" ht="20">
      <c r="A25" s="78" t="s">
        <v>2865</v>
      </c>
      <c r="B25" s="78" t="s">
        <v>297</v>
      </c>
      <c r="C25" s="78">
        <v>245</v>
      </c>
      <c r="D25" s="78">
        <f>Table91[[#This Row],[2014]]/C56</f>
        <v>6.8558316543541531E-3</v>
      </c>
      <c r="F25" s="16" t="s">
        <v>2881</v>
      </c>
      <c r="G25" s="17">
        <v>13261</v>
      </c>
      <c r="H25" s="80">
        <f>Table92[[#This Row],[TRUMP VOTES]]/C56</f>
        <v>0.37108238191179765</v>
      </c>
      <c r="I25" s="18">
        <v>0.86699999999999999</v>
      </c>
      <c r="J25" s="17">
        <v>1663</v>
      </c>
      <c r="K25" s="80">
        <f>Table92[[#This Row],[BIDEN VOTES]]/C56</f>
        <v>4.6535706290575331E-2</v>
      </c>
      <c r="L25" s="18">
        <v>0.109</v>
      </c>
      <c r="M25" s="80">
        <f>1-(Table92[[#This Row],[NbP2]]+Table92[[#This Row],[NbP]])</f>
        <v>0.58238191179762699</v>
      </c>
    </row>
    <row r="26" spans="1:13" ht="20">
      <c r="A26" s="78" t="s">
        <v>21</v>
      </c>
      <c r="B26" s="78" t="s">
        <v>297</v>
      </c>
      <c r="C26" s="94">
        <v>1554</v>
      </c>
      <c r="D26" s="78">
        <f>Table91[[#This Row],[2014]]/C57</f>
        <v>2.5003781138074289E-3</v>
      </c>
      <c r="F26" s="16" t="s">
        <v>2882</v>
      </c>
      <c r="G26" s="17">
        <v>192812</v>
      </c>
      <c r="H26" s="80">
        <f>Table92[[#This Row],[TRUMP VOTES]]/C57</f>
        <v>0.3102335295234479</v>
      </c>
      <c r="I26" s="18">
        <v>0.67800000000000005</v>
      </c>
      <c r="J26" s="17">
        <v>76033</v>
      </c>
      <c r="K26" s="80">
        <f>Table92[[#This Row],[BIDEN VOTES]]/C57</f>
        <v>0.12233671115001303</v>
      </c>
      <c r="L26" s="18">
        <v>0.26700000000000002</v>
      </c>
      <c r="M26" s="80">
        <f>1-(Table92[[#This Row],[NbP2]]+Table92[[#This Row],[NbP]])</f>
        <v>0.56742975932653905</v>
      </c>
    </row>
    <row r="27" spans="1:13" ht="20">
      <c r="A27" s="78" t="s">
        <v>2866</v>
      </c>
      <c r="B27" s="78" t="s">
        <v>297</v>
      </c>
      <c r="C27" s="78">
        <v>108</v>
      </c>
      <c r="D27" s="78">
        <f>Table91[[#This Row],[2014]]/C58</f>
        <v>3.267479502617009E-3</v>
      </c>
      <c r="F27" s="16" t="s">
        <v>2883</v>
      </c>
      <c r="G27" s="17">
        <v>10795</v>
      </c>
      <c r="H27" s="80">
        <f>Table92[[#This Row],[TRUMP VOTES]]/C58</f>
        <v>0.3265966780625057</v>
      </c>
      <c r="I27" s="18">
        <v>0.61399999999999999</v>
      </c>
      <c r="J27" s="17">
        <v>6187</v>
      </c>
      <c r="K27" s="80">
        <f>Table92[[#This Row],[BIDEN VOTES]]/C58</f>
        <v>0.18718421928417994</v>
      </c>
      <c r="L27" s="18">
        <v>0.35199999999999998</v>
      </c>
      <c r="M27" s="80">
        <f>1-(Table92[[#This Row],[NbP2]]+Table92[[#This Row],[NbP]])</f>
        <v>0.48621910265331436</v>
      </c>
    </row>
    <row r="28" spans="1:13" ht="20">
      <c r="A28" s="78" t="s">
        <v>38</v>
      </c>
      <c r="B28" s="78" t="s">
        <v>297</v>
      </c>
      <c r="C28" s="78">
        <v>386</v>
      </c>
      <c r="D28" s="78">
        <f>Table91[[#This Row],[2014]]/C59</f>
        <v>2.2425302247758923E-3</v>
      </c>
      <c r="F28" s="16" t="s">
        <v>258</v>
      </c>
      <c r="G28" s="17">
        <v>67294</v>
      </c>
      <c r="H28" s="80">
        <f>Table92[[#This Row],[TRUMP VOTES]]/C59</f>
        <v>0.39095551540432355</v>
      </c>
      <c r="I28" s="18">
        <v>0.74399999999999999</v>
      </c>
      <c r="J28" s="17">
        <v>20530</v>
      </c>
      <c r="K28" s="80">
        <f>Table92[[#This Row],[BIDEN VOTES]]/C59</f>
        <v>0.11927239770634473</v>
      </c>
      <c r="L28" s="18">
        <v>0.22700000000000001</v>
      </c>
      <c r="M28" s="80">
        <f>1-(Table92[[#This Row],[NbP2]]+Table92[[#This Row],[NbP]])</f>
        <v>0.48977208688933171</v>
      </c>
    </row>
    <row r="29" spans="1:13" ht="20">
      <c r="A29" s="78" t="s">
        <v>160</v>
      </c>
      <c r="B29" s="78" t="s">
        <v>297</v>
      </c>
      <c r="C29" s="78">
        <v>0</v>
      </c>
      <c r="D29" s="78">
        <f>Table91[[#This Row],[2014]]/C60</f>
        <v>0</v>
      </c>
      <c r="F29" s="16" t="s">
        <v>259</v>
      </c>
      <c r="G29" s="17">
        <v>1229</v>
      </c>
      <c r="H29" s="80">
        <f>Table92[[#This Row],[TRUMP VOTES]]/C60</f>
        <v>0.45552260934025202</v>
      </c>
      <c r="I29" s="18">
        <v>0.75800000000000001</v>
      </c>
      <c r="J29" s="19">
        <v>365</v>
      </c>
      <c r="K29" s="80">
        <f>Table92[[#This Row],[BIDEN VOTES]]/C60</f>
        <v>0.13528539659006672</v>
      </c>
      <c r="L29" s="18">
        <v>0.22500000000000001</v>
      </c>
      <c r="M29" s="80">
        <f>1-(Table92[[#This Row],[NbP2]]+Table92[[#This Row],[NbP]])</f>
        <v>0.40919199406968132</v>
      </c>
    </row>
    <row r="30" spans="1:13" ht="20">
      <c r="A30" s="78" t="s">
        <v>2867</v>
      </c>
      <c r="B30" s="78" t="s">
        <v>297</v>
      </c>
      <c r="C30" s="94">
        <v>1116</v>
      </c>
      <c r="D30" s="78">
        <f>Table91[[#This Row],[2014]]/C61</f>
        <v>4.3716018238510838E-3</v>
      </c>
      <c r="F30" s="16" t="s">
        <v>2884</v>
      </c>
      <c r="G30" s="17">
        <v>65949</v>
      </c>
      <c r="H30" s="80">
        <f>Table92[[#This Row],[TRUMP VOTES]]/C61</f>
        <v>0.25833581423042573</v>
      </c>
      <c r="I30" s="18">
        <v>0.59199999999999997</v>
      </c>
      <c r="J30" s="17">
        <v>40695</v>
      </c>
      <c r="K30" s="80">
        <f>Table92[[#This Row],[BIDEN VOTES]]/C61</f>
        <v>0.15941069553908588</v>
      </c>
      <c r="L30" s="18">
        <v>0.36499999999999999</v>
      </c>
      <c r="M30" s="80">
        <f>1-(Table92[[#This Row],[NbP2]]+Table92[[#This Row],[NbP]])</f>
        <v>0.58225349023048834</v>
      </c>
    </row>
    <row r="32" spans="1:13" ht="21">
      <c r="A32" s="77" t="s">
        <v>1670</v>
      </c>
      <c r="B32" s="77" t="s">
        <v>69</v>
      </c>
      <c r="C32" s="77" t="s">
        <v>54</v>
      </c>
    </row>
    <row r="33" spans="1:3" ht="21">
      <c r="A33" s="52">
        <v>24</v>
      </c>
      <c r="B33" s="53" t="s">
        <v>2651</v>
      </c>
      <c r="C33" s="54">
        <v>6594</v>
      </c>
    </row>
    <row r="34" spans="1:3" ht="21">
      <c r="A34" s="52">
        <v>8</v>
      </c>
      <c r="B34" s="53" t="s">
        <v>2868</v>
      </c>
      <c r="C34" s="54">
        <v>54953</v>
      </c>
    </row>
    <row r="35" spans="1:3" ht="21">
      <c r="A35" s="52">
        <v>6</v>
      </c>
      <c r="B35" s="53" t="s">
        <v>2869</v>
      </c>
      <c r="C35" s="54">
        <v>126336</v>
      </c>
    </row>
    <row r="36" spans="1:3" ht="21">
      <c r="A36" s="52">
        <v>15</v>
      </c>
      <c r="B36" s="53" t="s">
        <v>2769</v>
      </c>
      <c r="C36" s="54">
        <v>20401</v>
      </c>
    </row>
    <row r="37" spans="1:3" ht="21">
      <c r="A37" s="52">
        <v>29</v>
      </c>
      <c r="B37" s="53" t="s">
        <v>2870</v>
      </c>
      <c r="C37" s="52">
        <v>590</v>
      </c>
    </row>
    <row r="38" spans="1:3" ht="21">
      <c r="A38" s="52">
        <v>3</v>
      </c>
      <c r="B38" s="53" t="s">
        <v>1542</v>
      </c>
      <c r="C38" s="54">
        <v>350761</v>
      </c>
    </row>
    <row r="39" spans="1:3" ht="21">
      <c r="A39" s="52">
        <v>16</v>
      </c>
      <c r="B39" s="53" t="s">
        <v>2871</v>
      </c>
      <c r="C39" s="54">
        <v>19950</v>
      </c>
    </row>
    <row r="40" spans="1:3" ht="21">
      <c r="A40" s="52">
        <v>21</v>
      </c>
      <c r="B40" s="53" t="s">
        <v>2872</v>
      </c>
      <c r="C40" s="54">
        <v>10099</v>
      </c>
    </row>
    <row r="41" spans="1:3" ht="21">
      <c r="A41" s="52">
        <v>25</v>
      </c>
      <c r="B41" s="53" t="s">
        <v>1163</v>
      </c>
      <c r="C41" s="54">
        <v>5000</v>
      </c>
    </row>
    <row r="42" spans="1:3" ht="21">
      <c r="A42" s="52">
        <v>22</v>
      </c>
      <c r="B42" s="53" t="s">
        <v>1165</v>
      </c>
      <c r="C42" s="54">
        <v>9698</v>
      </c>
    </row>
    <row r="43" spans="1:3" ht="21">
      <c r="A43" s="52">
        <v>9</v>
      </c>
      <c r="B43" s="53" t="s">
        <v>1841</v>
      </c>
      <c r="C43" s="54">
        <v>53148</v>
      </c>
    </row>
    <row r="44" spans="1:3" ht="21">
      <c r="A44" s="52">
        <v>20</v>
      </c>
      <c r="B44" s="53" t="s">
        <v>2873</v>
      </c>
      <c r="C44" s="54">
        <v>11623</v>
      </c>
    </row>
    <row r="45" spans="1:3" ht="21">
      <c r="A45" s="52">
        <v>23</v>
      </c>
      <c r="B45" s="53" t="s">
        <v>2874</v>
      </c>
      <c r="C45" s="54">
        <v>7658</v>
      </c>
    </row>
    <row r="46" spans="1:3" ht="21">
      <c r="A46" s="52">
        <v>18</v>
      </c>
      <c r="B46" s="53" t="s">
        <v>2875</v>
      </c>
      <c r="C46" s="54">
        <v>12963</v>
      </c>
    </row>
    <row r="47" spans="1:3" ht="21">
      <c r="A47" s="52">
        <v>19</v>
      </c>
      <c r="B47" s="53" t="s">
        <v>234</v>
      </c>
      <c r="C47" s="54">
        <v>11950</v>
      </c>
    </row>
    <row r="48" spans="1:3" ht="21">
      <c r="A48" s="52">
        <v>28</v>
      </c>
      <c r="B48" s="53" t="s">
        <v>2876</v>
      </c>
      <c r="C48" s="54">
        <v>1870</v>
      </c>
    </row>
    <row r="49" spans="1:3" ht="21">
      <c r="A49" s="52">
        <v>27</v>
      </c>
      <c r="B49" s="53" t="s">
        <v>2877</v>
      </c>
      <c r="C49" s="54">
        <v>2415</v>
      </c>
    </row>
    <row r="50" spans="1:3" ht="21">
      <c r="A50" s="52">
        <v>1</v>
      </c>
      <c r="B50" s="53" t="s">
        <v>2878</v>
      </c>
      <c r="C50" s="54">
        <v>1146215</v>
      </c>
    </row>
    <row r="51" spans="1:3" ht="21">
      <c r="A51" s="52">
        <v>17</v>
      </c>
      <c r="B51" s="53" t="s">
        <v>1188</v>
      </c>
      <c r="C51" s="54">
        <v>15295</v>
      </c>
    </row>
    <row r="52" spans="1:3" ht="21">
      <c r="A52" s="52">
        <v>13</v>
      </c>
      <c r="B52" s="53" t="s">
        <v>2879</v>
      </c>
      <c r="C52" s="54">
        <v>30421</v>
      </c>
    </row>
    <row r="53" spans="1:3" ht="21">
      <c r="A53" s="52">
        <v>14</v>
      </c>
      <c r="B53" s="53" t="s">
        <v>247</v>
      </c>
      <c r="C53" s="54">
        <v>21475</v>
      </c>
    </row>
    <row r="54" spans="1:3" ht="21">
      <c r="A54" s="52">
        <v>10</v>
      </c>
      <c r="B54" s="53" t="s">
        <v>1191</v>
      </c>
      <c r="C54" s="54">
        <v>41680</v>
      </c>
    </row>
    <row r="55" spans="1:3" ht="21">
      <c r="A55" s="52">
        <v>7</v>
      </c>
      <c r="B55" s="53" t="s">
        <v>2880</v>
      </c>
      <c r="C55" s="54">
        <v>69740</v>
      </c>
    </row>
    <row r="56" spans="1:3" ht="21">
      <c r="A56" s="52">
        <v>11</v>
      </c>
      <c r="B56" s="53" t="s">
        <v>2881</v>
      </c>
      <c r="C56" s="54">
        <v>35736</v>
      </c>
    </row>
    <row r="57" spans="1:3" ht="21">
      <c r="A57" s="52">
        <v>2</v>
      </c>
      <c r="B57" s="53" t="s">
        <v>2882</v>
      </c>
      <c r="C57" s="54">
        <v>621506</v>
      </c>
    </row>
    <row r="58" spans="1:3" ht="21">
      <c r="A58" s="52">
        <v>12</v>
      </c>
      <c r="B58" s="53" t="s">
        <v>2883</v>
      </c>
      <c r="C58" s="54">
        <v>33053</v>
      </c>
    </row>
    <row r="59" spans="1:3" ht="21">
      <c r="A59" s="52">
        <v>5</v>
      </c>
      <c r="B59" s="53" t="s">
        <v>258</v>
      </c>
      <c r="C59" s="54">
        <v>172127</v>
      </c>
    </row>
    <row r="60" spans="1:3" ht="21">
      <c r="A60" s="52">
        <v>26</v>
      </c>
      <c r="B60" s="53" t="s">
        <v>259</v>
      </c>
      <c r="C60" s="54">
        <v>2698</v>
      </c>
    </row>
    <row r="61" spans="1:3" ht="21">
      <c r="A61" s="52">
        <v>4</v>
      </c>
      <c r="B61" s="53" t="s">
        <v>2884</v>
      </c>
      <c r="C61" s="54">
        <v>255284</v>
      </c>
    </row>
  </sheetData>
  <hyperlinks>
    <hyperlink ref="B50" r:id="rId1" display="https://www.utah-demographics.com/salt-lake-county-demographics" xr:uid="{31215AD1-40C4-1841-9AC9-F85FFD5E7E9B}"/>
    <hyperlink ref="B57" r:id="rId2" display="https://www.utah-demographics.com/utah-county-demographics" xr:uid="{3205BDFC-9EB3-3145-85B2-A5727C94ED2E}"/>
    <hyperlink ref="B38" r:id="rId3" display="https://www.utah-demographics.com/davis-county-demographics" xr:uid="{6E980CD7-201D-ED41-864C-00F4995FEB5E}"/>
    <hyperlink ref="B61" r:id="rId4" display="https://www.utah-demographics.com/weber-county-demographics" xr:uid="{B8FE68F0-2DEA-124F-BFD1-84DFB1EF3585}"/>
    <hyperlink ref="B59" r:id="rId5" display="https://www.utah-demographics.com/washington-county-demographics" xr:uid="{FBC7284F-1BF5-2D40-ABA8-524A864CEF3D}"/>
    <hyperlink ref="B35" r:id="rId6" display="https://www.utah-demographics.com/cache-county-demographics" xr:uid="{7228C8D4-E404-E842-AB0E-8883F08210A8}"/>
    <hyperlink ref="B55" r:id="rId7" display="https://www.utah-demographics.com/tooele-county-demographics" xr:uid="{EB37BE3C-1606-6245-8D2F-CBAF62BAF31C}"/>
    <hyperlink ref="B34" r:id="rId8" display="https://www.utah-demographics.com/box-elder-county-demographics" xr:uid="{DBBEECEC-362E-1C41-A1B8-4F2A22730CEB}"/>
    <hyperlink ref="B43" r:id="rId9" display="https://www.utah-demographics.com/iron-county-demographics" xr:uid="{082DE716-0900-9240-8564-76E1241203B0}"/>
    <hyperlink ref="B54" r:id="rId10" display="https://www.utah-demographics.com/summit-county-demographics" xr:uid="{D8F7871A-D84E-BD4B-BBAB-B64A8E571D87}"/>
    <hyperlink ref="B56" r:id="rId11" display="https://www.utah-demographics.com/uintah-county-demographics" xr:uid="{FCC8939A-3C8C-2C46-B16C-F6586B029E7D}"/>
    <hyperlink ref="B58" r:id="rId12" display="https://www.utah-demographics.com/wasatch-county-demographics" xr:uid="{7F7C0C10-9066-6A4B-8B9E-6400A501FD6A}"/>
    <hyperlink ref="B52" r:id="rId13" display="https://www.utah-demographics.com/sanpete-county-demographics" xr:uid="{03386146-1D65-A342-8063-B9EF30AD9341}"/>
    <hyperlink ref="B53" r:id="rId14" display="https://www.utah-demographics.com/sevier-county-demographics" xr:uid="{194DD8B6-8EF5-924F-8971-6CE33C73E22B}"/>
    <hyperlink ref="B36" r:id="rId15" display="https://www.utah-demographics.com/carbon-county-demographics" xr:uid="{D9F3B960-78D4-F346-BAF4-3BA7825AB4F2}"/>
    <hyperlink ref="B39" r:id="rId16" display="https://www.utah-demographics.com/duchesne-county-demographics" xr:uid="{A7EB1D2B-8DD2-0C4B-911C-AA3FEAA84CD9}"/>
    <hyperlink ref="B51" r:id="rId17" display="https://www.utah-demographics.com/san-juan-county-demographics" xr:uid="{13E7C913-435D-2345-9E6D-75186C4E2408}"/>
    <hyperlink ref="B46" r:id="rId18" display="https://www.utah-demographics.com/millard-county-demographics" xr:uid="{3F75C5F7-5E53-744A-A9F0-03EED0878D6E}"/>
    <hyperlink ref="B47" r:id="rId19" display="https://www.utah-demographics.com/morgan-county-demographics" xr:uid="{ED3BCC03-C8CF-7A4A-B96D-7B88A86CD587}"/>
    <hyperlink ref="B44" r:id="rId20" display="https://www.utah-demographics.com/juab-county-demographics" xr:uid="{17BA3C59-1E50-A649-9078-0C1A12822601}"/>
    <hyperlink ref="B40" r:id="rId21" display="https://www.utah-demographics.com/emery-county-demographics" xr:uid="{CED1F817-EC7E-7648-A572-A3B1229DBFB0}"/>
    <hyperlink ref="B42" r:id="rId22" display="https://www.utah-demographics.com/grand-county-demographics" xr:uid="{8F74821D-3F91-8C4B-A3BA-D23CF2FA6040}"/>
    <hyperlink ref="B45" r:id="rId23" display="https://www.utah-demographics.com/kane-county-demographics" xr:uid="{113F9564-FBD9-4A40-87D3-875B172D780D}"/>
    <hyperlink ref="B33" r:id="rId24" display="https://www.utah-demographics.com/beaver-county-demographics" xr:uid="{210FAB9F-5454-9345-83A0-6B0B8EF8730B}"/>
    <hyperlink ref="B41" r:id="rId25" display="https://www.utah-demographics.com/garfield-county-demographics" xr:uid="{3E0461AC-46A3-3447-8148-3F3942F4F804}"/>
    <hyperlink ref="B60" r:id="rId26" display="https://www.utah-demographics.com/wayne-county-demographics" xr:uid="{025A0836-0571-1449-8251-4B67FBE5E110}"/>
    <hyperlink ref="B49" r:id="rId27" display="https://www.utah-demographics.com/rich-county-demographics" xr:uid="{43A22676-B435-0C46-BBEA-59E69AC87489}"/>
    <hyperlink ref="B48" r:id="rId28" display="https://www.utah-demographics.com/piute-county-demographics" xr:uid="{98223566-451E-7547-B0B7-B9CD1ADBB99E}"/>
    <hyperlink ref="B37" r:id="rId29" display="https://www.utah-demographics.com/daggett-county-demographics" xr:uid="{5B1ADDFE-7899-454B-8C28-84002CF61B80}"/>
  </hyperlinks>
  <pageMargins left="0.7" right="0.7" top="0.75" bottom="0.75" header="0.3" footer="0.3"/>
  <tableParts count="3">
    <tablePart r:id="rId30"/>
    <tablePart r:id="rId31"/>
    <tablePart r:id="rId3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CC9A2-58F0-D04F-ACC6-1C815CFCA1F4}">
  <dimension ref="A1:Q35"/>
  <sheetViews>
    <sheetView topLeftCell="C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27.83203125" bestFit="1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ht="21">
      <c r="A1" s="93" t="s">
        <v>64</v>
      </c>
      <c r="B1" s="93" t="s">
        <v>1674</v>
      </c>
      <c r="C1" s="93" t="s">
        <v>1</v>
      </c>
      <c r="D1" s="93" t="s">
        <v>1677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t="s">
        <v>267</v>
      </c>
      <c r="Q1" t="s">
        <v>328</v>
      </c>
    </row>
    <row r="2" spans="1:17" ht="20">
      <c r="A2" s="78" t="s">
        <v>1693</v>
      </c>
      <c r="B2" s="78" t="s">
        <v>297</v>
      </c>
      <c r="C2" s="78">
        <v>403</v>
      </c>
      <c r="D2" s="78">
        <f>Table46[[#This Row],[2020]]/C20</f>
        <v>3.7329331777172605E-3</v>
      </c>
      <c r="F2" s="16" t="s">
        <v>1706</v>
      </c>
      <c r="G2" s="17">
        <v>27617</v>
      </c>
      <c r="H2" s="80">
        <f>Table48[[#This Row],[BIDEN VOTES]]/C20</f>
        <v>0.25581244558068877</v>
      </c>
      <c r="I2" s="18">
        <v>0.47</v>
      </c>
      <c r="J2" s="17">
        <v>29268</v>
      </c>
      <c r="K2" s="80">
        <f>Table48[[#This Row],[TRUMP VOTES]]/C20</f>
        <v>0.27110542988940145</v>
      </c>
      <c r="L2" s="18">
        <v>0.499</v>
      </c>
      <c r="M2" s="82">
        <f>1-(Table48[[#This Row],[NbP]]+Table48[[#This Row],[NbP2]])</f>
        <v>0.47308212452990972</v>
      </c>
      <c r="O2" t="s">
        <v>1672</v>
      </c>
      <c r="P2">
        <f>CORREL(D:D,H:H)</f>
        <v>-0.72439583334448143</v>
      </c>
      <c r="Q2">
        <v>0.01</v>
      </c>
    </row>
    <row r="3" spans="1:17" ht="20">
      <c r="A3" s="78" t="s">
        <v>1694</v>
      </c>
      <c r="B3" s="78" t="s">
        <v>297</v>
      </c>
      <c r="C3" s="78">
        <v>394</v>
      </c>
      <c r="D3" s="78">
        <f>Table46[[#This Row],[2020]]/C21</f>
        <v>5.8430098915928878E-3</v>
      </c>
      <c r="F3" s="16" t="s">
        <v>1707</v>
      </c>
      <c r="G3" s="17">
        <v>13956</v>
      </c>
      <c r="H3" s="80">
        <f>Table48[[#This Row],[BIDEN VOTES]]/C21</f>
        <v>0.20696712194687902</v>
      </c>
      <c r="I3" s="18">
        <v>0.39</v>
      </c>
      <c r="J3" s="17">
        <v>21080</v>
      </c>
      <c r="K3" s="80">
        <f>Table48[[#This Row],[TRUMP VOTES]]/C21</f>
        <v>0.31261585917456364</v>
      </c>
      <c r="L3" s="18">
        <v>0.59</v>
      </c>
      <c r="M3" s="82">
        <f>1-(Table48[[#This Row],[NbP]]+Table48[[#This Row],[NbP2]])</f>
        <v>0.48041701887855737</v>
      </c>
      <c r="O3" t="s">
        <v>1671</v>
      </c>
      <c r="P3">
        <f>CORREL(D:D,K:K)</f>
        <v>0.56327590294912322</v>
      </c>
      <c r="Q3" s="1">
        <v>0.05</v>
      </c>
    </row>
    <row r="4" spans="1:17" ht="20">
      <c r="A4" s="78" t="s">
        <v>88</v>
      </c>
      <c r="B4" s="78" t="s">
        <v>297</v>
      </c>
      <c r="C4" s="78">
        <v>350</v>
      </c>
      <c r="D4" s="78">
        <f>Table46[[#This Row],[2020]]/C22</f>
        <v>1.1883743039521933E-3</v>
      </c>
      <c r="F4" s="16" t="s">
        <v>187</v>
      </c>
      <c r="G4" s="17">
        <v>133358</v>
      </c>
      <c r="H4" s="80">
        <f>Table48[[#This Row],[BIDEN VOTES]]/C22</f>
        <v>0.45279777264701887</v>
      </c>
      <c r="I4" s="18">
        <v>0.66900000000000004</v>
      </c>
      <c r="J4" s="17">
        <v>60422</v>
      </c>
      <c r="K4" s="80">
        <f>Table48[[#This Row],[TRUMP VOTES]]/C22</f>
        <v>0.20515414912399837</v>
      </c>
      <c r="L4" s="18">
        <v>0.30299999999999999</v>
      </c>
      <c r="M4" s="82">
        <f>1-(Table48[[#This Row],[NbP]]+Table48[[#This Row],[NbP2]])</f>
        <v>0.34204807822898275</v>
      </c>
      <c r="O4" t="s">
        <v>1679</v>
      </c>
      <c r="P4">
        <f>CORREL(D:D,M:M)</f>
        <v>0.70461796399421261</v>
      </c>
      <c r="Q4" s="1">
        <v>0.01</v>
      </c>
    </row>
    <row r="5" spans="1:17" ht="20">
      <c r="A5" s="78" t="s">
        <v>96</v>
      </c>
      <c r="B5" s="78" t="s">
        <v>297</v>
      </c>
      <c r="C5" s="78">
        <v>78</v>
      </c>
      <c r="D5" s="78">
        <f>Table46[[#This Row],[2020]]/C23</f>
        <v>2.6058196639160793E-3</v>
      </c>
      <c r="F5" s="16" t="s">
        <v>195</v>
      </c>
      <c r="G5" s="17">
        <v>8069</v>
      </c>
      <c r="H5" s="80">
        <f>Table48[[#This Row],[BIDEN VOTES]]/C23</f>
        <v>0.26956870343767747</v>
      </c>
      <c r="I5" s="18">
        <v>0.46400000000000002</v>
      </c>
      <c r="J5" s="17">
        <v>8754</v>
      </c>
      <c r="K5" s="80">
        <f>Table48[[#This Row],[TRUMP VOTES]]/C23</f>
        <v>0.29245314535796613</v>
      </c>
      <c r="L5" s="18">
        <v>0.503</v>
      </c>
      <c r="M5" s="82">
        <f>1-(Table48[[#This Row],[NbP]]+Table48[[#This Row],[NbP2]])</f>
        <v>0.43797815120435635</v>
      </c>
    </row>
    <row r="6" spans="1:17" ht="20">
      <c r="A6" s="78" t="s">
        <v>104</v>
      </c>
      <c r="B6" s="78" t="s">
        <v>297</v>
      </c>
      <c r="C6" s="78">
        <v>145</v>
      </c>
      <c r="D6" s="78">
        <f>Table46[[#This Row],[2020]]/C24</f>
        <v>2.6444412022176831E-3</v>
      </c>
      <c r="F6" s="16" t="s">
        <v>203</v>
      </c>
      <c r="G6" s="17">
        <v>19366</v>
      </c>
      <c r="H6" s="80">
        <f>Table48[[#This Row],[BIDEN VOTES]]/C24</f>
        <v>0.35318791946308725</v>
      </c>
      <c r="I6" s="18">
        <v>0.54800000000000004</v>
      </c>
      <c r="J6" s="17">
        <v>14980</v>
      </c>
      <c r="K6" s="80">
        <f>Table48[[#This Row],[TRUMP VOTES]]/C24</f>
        <v>0.27319813247738545</v>
      </c>
      <c r="L6" s="18">
        <v>0.42399999999999999</v>
      </c>
      <c r="M6" s="82">
        <f>1-(Table48[[#This Row],[NbP]]+Table48[[#This Row],[NbP2]])</f>
        <v>0.3736139480595273</v>
      </c>
    </row>
    <row r="7" spans="1:17" ht="20">
      <c r="A7" s="78" t="s">
        <v>1695</v>
      </c>
      <c r="B7" s="78" t="s">
        <v>297</v>
      </c>
      <c r="C7" s="78">
        <v>623</v>
      </c>
      <c r="D7" s="78">
        <f>Table46[[#This Row],[2020]]/C25</f>
        <v>5.0999525205062297E-3</v>
      </c>
      <c r="F7" s="16" t="s">
        <v>1705</v>
      </c>
      <c r="G7" s="17">
        <v>34902</v>
      </c>
      <c r="H7" s="80">
        <f>Table48[[#This Row],[BIDEN VOTES]]/C25</f>
        <v>0.28571194682296697</v>
      </c>
      <c r="I7" s="18">
        <v>0.48599999999999999</v>
      </c>
      <c r="J7" s="17">
        <v>34721</v>
      </c>
      <c r="K7" s="80">
        <f>Table48[[#This Row],[TRUMP VOTES]]/C25</f>
        <v>0.28423025917254702</v>
      </c>
      <c r="L7" s="18">
        <v>0.48299999999999998</v>
      </c>
      <c r="M7" s="82">
        <f>1-(Table48[[#This Row],[NbP]]+Table48[[#This Row],[NbP2]])</f>
        <v>0.43005779400448607</v>
      </c>
    </row>
    <row r="8" spans="1:17" ht="20">
      <c r="A8" s="78" t="s">
        <v>117</v>
      </c>
      <c r="B8" s="78" t="s">
        <v>297</v>
      </c>
      <c r="C8" s="78">
        <v>136</v>
      </c>
      <c r="D8" s="78">
        <f>Table46[[#This Row],[2020]]/C26</f>
        <v>3.4163128940691801E-3</v>
      </c>
      <c r="F8" s="16" t="s">
        <v>216</v>
      </c>
      <c r="G8" s="17">
        <v>15110</v>
      </c>
      <c r="H8" s="80">
        <f>Table48[[#This Row],[BIDEN VOTES]]/C26</f>
        <v>0.37956241051018613</v>
      </c>
      <c r="I8" s="18">
        <v>0.58699999999999997</v>
      </c>
      <c r="J8" s="17">
        <v>9982</v>
      </c>
      <c r="K8" s="80">
        <f>Table48[[#This Row],[TRUMP VOTES]]/C26</f>
        <v>0.25074731844557763</v>
      </c>
      <c r="L8" s="18">
        <v>0.38800000000000001</v>
      </c>
      <c r="M8" s="82">
        <f>1-(Table48[[#This Row],[NbP]]+Table48[[#This Row],[NbP2]])</f>
        <v>0.36969027104423624</v>
      </c>
    </row>
    <row r="9" spans="1:17" ht="20">
      <c r="A9" s="78" t="s">
        <v>122</v>
      </c>
      <c r="B9" s="78" t="s">
        <v>297</v>
      </c>
      <c r="C9" s="78">
        <v>90</v>
      </c>
      <c r="D9" s="78">
        <f>Table46[[#This Row],[2020]]/C27</f>
        <v>2.6151387476391107E-3</v>
      </c>
      <c r="F9" s="16" t="s">
        <v>221</v>
      </c>
      <c r="G9" s="17">
        <v>12684</v>
      </c>
      <c r="H9" s="80">
        <f>Table48[[#This Row],[BIDEN VOTES]]/C27</f>
        <v>0.36856022083393869</v>
      </c>
      <c r="I9" s="18">
        <v>0.53800000000000003</v>
      </c>
      <c r="J9" s="17">
        <v>10256</v>
      </c>
      <c r="K9" s="80">
        <f>Table48[[#This Row],[TRUMP VOTES]]/C27</f>
        <v>0.29800958884207468</v>
      </c>
      <c r="L9" s="18">
        <v>0.435</v>
      </c>
      <c r="M9" s="82">
        <f>1-(Table48[[#This Row],[NbP]]+Table48[[#This Row],[NbP2]])</f>
        <v>0.33343019032398669</v>
      </c>
    </row>
    <row r="10" spans="1:17" ht="20">
      <c r="A10" s="78" t="s">
        <v>1696</v>
      </c>
      <c r="B10" s="78" t="s">
        <v>297</v>
      </c>
      <c r="C10" s="78">
        <v>219</v>
      </c>
      <c r="D10" s="78">
        <f>Table46[[#This Row],[2020]]/C28</f>
        <v>3.7927988777471814E-3</v>
      </c>
      <c r="F10" s="16" t="s">
        <v>1708</v>
      </c>
      <c r="G10" s="17">
        <v>14755</v>
      </c>
      <c r="H10" s="80">
        <f>Table48[[#This Row],[BIDEN VOTES]]/C28</f>
        <v>0.25553765954867425</v>
      </c>
      <c r="I10" s="18">
        <v>0.441</v>
      </c>
      <c r="J10" s="17">
        <v>17698</v>
      </c>
      <c r="K10" s="80">
        <f>Table48[[#This Row],[TRUMP VOTES]]/C28</f>
        <v>0.30650664172771513</v>
      </c>
      <c r="L10" s="18">
        <v>0.52800000000000002</v>
      </c>
      <c r="M10" s="82">
        <f>1-(Table48[[#This Row],[NbP]]+Table48[[#This Row],[NbP2]])</f>
        <v>0.43795569872361062</v>
      </c>
    </row>
    <row r="11" spans="1:17" ht="20">
      <c r="A11" s="78" t="s">
        <v>1697</v>
      </c>
      <c r="B11" s="78" t="s">
        <v>297</v>
      </c>
      <c r="C11" s="78">
        <v>567</v>
      </c>
      <c r="D11" s="78">
        <f>Table46[[#This Row],[2020]]/C29</f>
        <v>3.7377386351650668E-3</v>
      </c>
      <c r="F11" s="16" t="s">
        <v>1704</v>
      </c>
      <c r="G11" s="17">
        <v>37716</v>
      </c>
      <c r="H11" s="80">
        <f>Table48[[#This Row],[BIDEN VOTES]]/C29</f>
        <v>0.24862883662060964</v>
      </c>
      <c r="I11" s="18">
        <v>0.442</v>
      </c>
      <c r="J11" s="17">
        <v>44827</v>
      </c>
      <c r="K11" s="80">
        <f>Table48[[#This Row],[TRUMP VOTES]]/C29</f>
        <v>0.29550548465351756</v>
      </c>
      <c r="L11" s="18">
        <v>0.52600000000000002</v>
      </c>
      <c r="M11" s="82">
        <f>1-(Table48[[#This Row],[NbP]]+Table48[[#This Row],[NbP2]])</f>
        <v>0.4558656787258728</v>
      </c>
    </row>
    <row r="12" spans="1:17" ht="20">
      <c r="A12" s="78" t="s">
        <v>1698</v>
      </c>
      <c r="B12" s="78" t="s">
        <v>297</v>
      </c>
      <c r="C12" s="78">
        <v>70</v>
      </c>
      <c r="D12" s="78">
        <f>Table46[[#This Row],[2020]]/C30</f>
        <v>4.1508538899430736E-3</v>
      </c>
      <c r="F12" s="16" t="s">
        <v>1711</v>
      </c>
      <c r="G12" s="17">
        <v>3517</v>
      </c>
      <c r="H12" s="80">
        <f>Table48[[#This Row],[BIDEN VOTES]]/C30</f>
        <v>0.20855075901328274</v>
      </c>
      <c r="I12" s="18">
        <v>0.35499999999999998</v>
      </c>
      <c r="J12" s="17">
        <v>6143</v>
      </c>
      <c r="K12" s="80">
        <f>Table48[[#This Row],[TRUMP VOTES]]/C30</f>
        <v>0.36426707779886147</v>
      </c>
      <c r="L12" s="18">
        <v>0.62</v>
      </c>
      <c r="M12" s="82">
        <f>1-(Table48[[#This Row],[NbP]]+Table48[[#This Row],[NbP2]])</f>
        <v>0.42718216318785585</v>
      </c>
    </row>
    <row r="13" spans="1:17" ht="20">
      <c r="A13" s="78" t="s">
        <v>1699</v>
      </c>
      <c r="B13" s="78" t="s">
        <v>297</v>
      </c>
      <c r="C13" s="78">
        <v>67</v>
      </c>
      <c r="D13" s="78">
        <f>Table46[[#This Row],[2020]]/C31</f>
        <v>1.8756998880179172E-3</v>
      </c>
      <c r="F13" s="16" t="s">
        <v>1710</v>
      </c>
      <c r="G13" s="17">
        <v>13528</v>
      </c>
      <c r="H13" s="80">
        <f>Table48[[#This Row],[BIDEN VOTES]]/C31</f>
        <v>0.37872340425531914</v>
      </c>
      <c r="I13" s="18">
        <v>0.56299999999999994</v>
      </c>
      <c r="J13" s="17">
        <v>9755</v>
      </c>
      <c r="K13" s="80">
        <f>Table48[[#This Row],[TRUMP VOTES]]/C31</f>
        <v>0.27309630459126538</v>
      </c>
      <c r="L13" s="18">
        <v>0.40600000000000003</v>
      </c>
      <c r="M13" s="82">
        <f>1-(Table48[[#This Row],[NbP]]+Table48[[#This Row],[NbP2]])</f>
        <v>0.34818029115341553</v>
      </c>
    </row>
    <row r="14" spans="1:17" ht="20">
      <c r="A14" s="78" t="s">
        <v>818</v>
      </c>
      <c r="B14" s="78" t="s">
        <v>297</v>
      </c>
      <c r="C14" s="78">
        <v>268</v>
      </c>
      <c r="D14" s="78">
        <f>Table46[[#This Row],[2020]]/C32</f>
        <v>5.2992703616554287E-3</v>
      </c>
      <c r="F14" s="16" t="s">
        <v>800</v>
      </c>
      <c r="G14" s="17">
        <v>10199</v>
      </c>
      <c r="H14" s="80">
        <f>Table48[[#This Row],[BIDEN VOTES]]/C32</f>
        <v>0.20166887469598402</v>
      </c>
      <c r="I14" s="18">
        <v>0.37</v>
      </c>
      <c r="J14" s="17">
        <v>16644</v>
      </c>
      <c r="K14" s="80">
        <f>Table48[[#This Row],[TRUMP VOTES]]/C32</f>
        <v>0.32910841753504833</v>
      </c>
      <c r="L14" s="18">
        <v>0.60399999999999998</v>
      </c>
      <c r="M14" s="82">
        <f>1-(Table48[[#This Row],[NbP]]+Table48[[#This Row],[NbP2]])</f>
        <v>0.46922270776896768</v>
      </c>
    </row>
    <row r="15" spans="1:17" ht="20">
      <c r="A15" s="78" t="s">
        <v>1700</v>
      </c>
      <c r="B15" s="78" t="s">
        <v>297</v>
      </c>
      <c r="C15" s="78">
        <v>222</v>
      </c>
      <c r="D15" s="78">
        <f>Table46[[#This Row],[2020]]/C33</f>
        <v>5.5887017596858244E-3</v>
      </c>
      <c r="F15" s="16" t="s">
        <v>1709</v>
      </c>
      <c r="G15" s="17">
        <v>12345</v>
      </c>
      <c r="H15" s="80">
        <f>Table48[[#This Row],[BIDEN VOTES]]/C33</f>
        <v>0.31077713163658333</v>
      </c>
      <c r="I15" s="18">
        <v>0.50800000000000001</v>
      </c>
      <c r="J15" s="17">
        <v>11196</v>
      </c>
      <c r="K15" s="80">
        <f>Table48[[#This Row],[TRUMP VOTES]]/C33</f>
        <v>0.28185182388037155</v>
      </c>
      <c r="L15" s="18">
        <v>0.46</v>
      </c>
      <c r="M15" s="82">
        <f>1-(Table48[[#This Row],[NbP]]+Table48[[#This Row],[NbP2]])</f>
        <v>0.40737104448304517</v>
      </c>
    </row>
    <row r="16" spans="1:17" ht="20">
      <c r="A16" s="78" t="s">
        <v>38</v>
      </c>
      <c r="B16" s="78" t="s">
        <v>297</v>
      </c>
      <c r="C16" s="78">
        <v>122</v>
      </c>
      <c r="D16" s="78">
        <f>Table46[[#This Row],[2020]]/C34</f>
        <v>3.8880744470648223E-3</v>
      </c>
      <c r="F16" s="16" t="s">
        <v>258</v>
      </c>
      <c r="G16" s="17">
        <v>6761</v>
      </c>
      <c r="H16" s="80">
        <f>Table48[[#This Row],[BIDEN VOTES]]/C34</f>
        <v>0.21546943718528905</v>
      </c>
      <c r="I16" s="18">
        <v>0.39</v>
      </c>
      <c r="J16" s="17">
        <v>10194</v>
      </c>
      <c r="K16" s="80">
        <f>Table48[[#This Row],[TRUMP VOTES]]/C34</f>
        <v>0.32487730256867869</v>
      </c>
      <c r="L16" s="18">
        <v>0.58699999999999997</v>
      </c>
      <c r="M16" s="82">
        <f>1-(Table48[[#This Row],[NbP]]+Table48[[#This Row],[NbP2]])</f>
        <v>0.45965326024603226</v>
      </c>
    </row>
    <row r="17" spans="1:13" ht="20">
      <c r="A17" s="78" t="s">
        <v>1701</v>
      </c>
      <c r="B17" s="78" t="s">
        <v>297</v>
      </c>
      <c r="C17" s="78">
        <v>634</v>
      </c>
      <c r="D17" s="78">
        <f>Table46[[#This Row],[2020]]/C35</f>
        <v>3.0765647291749565E-3</v>
      </c>
      <c r="F17" s="16" t="s">
        <v>1703</v>
      </c>
      <c r="G17" s="17">
        <v>71189</v>
      </c>
      <c r="H17" s="80">
        <f>Table48[[#This Row],[BIDEN VOTES]]/C35</f>
        <v>0.34545357492939427</v>
      </c>
      <c r="I17" s="18">
        <v>0.54900000000000004</v>
      </c>
      <c r="J17" s="17">
        <v>54817</v>
      </c>
      <c r="K17" s="80">
        <f>Table48[[#This Row],[TRUMP VOTES]]/C35</f>
        <v>0.26600638605549465</v>
      </c>
      <c r="L17" s="18">
        <v>0.42299999999999999</v>
      </c>
      <c r="M17" s="82">
        <f>1-(Table48[[#This Row],[NbP]]+Table48[[#This Row],[NbP2]])</f>
        <v>0.38854003901511103</v>
      </c>
    </row>
    <row r="19" spans="1:13" ht="21">
      <c r="A19" s="77" t="s">
        <v>1670</v>
      </c>
      <c r="B19" s="77" t="s">
        <v>69</v>
      </c>
      <c r="C19" s="77" t="s">
        <v>54</v>
      </c>
    </row>
    <row r="20" spans="1:13" ht="21">
      <c r="A20" s="52">
        <v>5</v>
      </c>
      <c r="B20" s="53" t="s">
        <v>1706</v>
      </c>
      <c r="C20" s="54">
        <v>107958</v>
      </c>
    </row>
    <row r="21" spans="1:13" ht="21">
      <c r="A21" s="52">
        <v>6</v>
      </c>
      <c r="B21" s="53" t="s">
        <v>1707</v>
      </c>
      <c r="C21" s="54">
        <v>67431</v>
      </c>
    </row>
    <row r="22" spans="1:13" ht="21">
      <c r="A22" s="52">
        <v>1</v>
      </c>
      <c r="B22" s="53" t="s">
        <v>187</v>
      </c>
      <c r="C22" s="54">
        <v>294520</v>
      </c>
    </row>
    <row r="23" spans="1:13" ht="21">
      <c r="A23" s="52">
        <v>15</v>
      </c>
      <c r="B23" s="53" t="s">
        <v>195</v>
      </c>
      <c r="C23" s="54">
        <v>29933</v>
      </c>
    </row>
    <row r="24" spans="1:13" ht="21">
      <c r="A24" s="52">
        <v>8</v>
      </c>
      <c r="B24" s="53" t="s">
        <v>203</v>
      </c>
      <c r="C24" s="54">
        <v>54832</v>
      </c>
    </row>
    <row r="25" spans="1:13" ht="21">
      <c r="A25" s="52">
        <v>4</v>
      </c>
      <c r="B25" s="53" t="s">
        <v>1705</v>
      </c>
      <c r="C25" s="54">
        <v>122158</v>
      </c>
    </row>
    <row r="26" spans="1:13" ht="21">
      <c r="A26" s="52">
        <v>10</v>
      </c>
      <c r="B26" s="53" t="s">
        <v>216</v>
      </c>
      <c r="C26" s="54">
        <v>39809</v>
      </c>
    </row>
    <row r="27" spans="1:13" ht="21">
      <c r="A27" s="52">
        <v>13</v>
      </c>
      <c r="B27" s="53" t="s">
        <v>221</v>
      </c>
      <c r="C27" s="54">
        <v>34415</v>
      </c>
    </row>
    <row r="28" spans="1:13" ht="21">
      <c r="A28" s="52">
        <v>7</v>
      </c>
      <c r="B28" s="53" t="s">
        <v>1708</v>
      </c>
      <c r="C28" s="54">
        <v>57741</v>
      </c>
    </row>
    <row r="29" spans="1:13" ht="21">
      <c r="A29" s="52">
        <v>3</v>
      </c>
      <c r="B29" s="53" t="s">
        <v>1704</v>
      </c>
      <c r="C29" s="54">
        <v>151696</v>
      </c>
    </row>
    <row r="30" spans="1:13" ht="21">
      <c r="A30" s="52">
        <v>16</v>
      </c>
      <c r="B30" s="53" t="s">
        <v>1711</v>
      </c>
      <c r="C30" s="54">
        <v>16864</v>
      </c>
    </row>
    <row r="31" spans="1:13" ht="21">
      <c r="A31" s="52">
        <v>12</v>
      </c>
      <c r="B31" s="53" t="s">
        <v>1710</v>
      </c>
      <c r="C31" s="54">
        <v>35720</v>
      </c>
    </row>
    <row r="32" spans="1:13" ht="21">
      <c r="A32" s="52">
        <v>9</v>
      </c>
      <c r="B32" s="53" t="s">
        <v>800</v>
      </c>
      <c r="C32" s="54">
        <v>50573</v>
      </c>
    </row>
    <row r="33" spans="1:3" ht="21">
      <c r="A33" s="52">
        <v>11</v>
      </c>
      <c r="B33" s="53" t="s">
        <v>1709</v>
      </c>
      <c r="C33" s="54">
        <v>39723</v>
      </c>
    </row>
    <row r="34" spans="1:3" ht="21">
      <c r="A34" s="52">
        <v>14</v>
      </c>
      <c r="B34" s="53" t="s">
        <v>258</v>
      </c>
      <c r="C34" s="54">
        <v>31378</v>
      </c>
    </row>
    <row r="35" spans="1:3" ht="21">
      <c r="A35" s="52">
        <v>2</v>
      </c>
      <c r="B35" s="53" t="s">
        <v>1703</v>
      </c>
      <c r="C35" s="54">
        <v>206074</v>
      </c>
    </row>
  </sheetData>
  <hyperlinks>
    <hyperlink ref="B22" r:id="rId1" display="https://www.maine-demographics.com/cumberland-county-demographics" xr:uid="{4CA258D3-27CD-6247-800A-A4B928F54D71}"/>
    <hyperlink ref="B35" r:id="rId2" display="https://www.maine-demographics.com/york-county-demographics" xr:uid="{CB646DA0-1C5D-D248-956A-FA5A6E3399C6}"/>
    <hyperlink ref="B29" r:id="rId3" display="https://www.maine-demographics.com/penobscot-county-demographics" xr:uid="{160D926C-F060-B945-873C-D9FCADAE2B23}"/>
    <hyperlink ref="B25" r:id="rId4" display="https://www.maine-demographics.com/kennebec-county-demographics" xr:uid="{4DD36321-29DD-7148-9DC6-A802A70F7D94}"/>
    <hyperlink ref="B20" r:id="rId5" display="https://www.maine-demographics.com/androscoggin-county-demographics" xr:uid="{143068DA-CD40-6B40-A351-C223FB02D0F6}"/>
    <hyperlink ref="B21" r:id="rId6" display="https://www.maine-demographics.com/aroostook-county-demographics" xr:uid="{BAC38124-30FD-FE40-B99D-308555A6CD1F}"/>
    <hyperlink ref="B28" r:id="rId7" display="https://www.maine-demographics.com/oxford-county-demographics" xr:uid="{372D4012-BBAE-BD43-9543-F7E11FD9295E}"/>
    <hyperlink ref="B24" r:id="rId8" display="https://www.maine-demographics.com/hancock-county-demographics" xr:uid="{BF261A93-F083-7A45-A2DE-85C36C3D9C87}"/>
    <hyperlink ref="B32" r:id="rId9" display="https://www.maine-demographics.com/somerset-county-demographics" xr:uid="{D1B14766-8857-734D-B94E-E2504BB50C9D}"/>
    <hyperlink ref="B26" r:id="rId10" display="https://www.maine-demographics.com/knox-county-demographics" xr:uid="{6518CECF-4BD4-DA4A-BE1B-50A07DA6CC68}"/>
    <hyperlink ref="B33" r:id="rId11" display="https://www.maine-demographics.com/waldo-county-demographics" xr:uid="{1B976996-6D19-1C47-8F08-4E65939A2937}"/>
    <hyperlink ref="B31" r:id="rId12" display="https://www.maine-demographics.com/sagadahoc-county-demographics" xr:uid="{94A925EA-2DE1-CA4D-990E-99E102DC4F60}"/>
    <hyperlink ref="B27" r:id="rId13" display="https://www.maine-demographics.com/lincoln-county-demographics" xr:uid="{D49404C0-1879-9F4D-B510-3F277BB4FC95}"/>
    <hyperlink ref="B34" r:id="rId14" display="https://www.maine-demographics.com/washington-county-demographics" xr:uid="{94C0D457-6622-384B-BE80-CFDAF80B3601}"/>
    <hyperlink ref="B23" r:id="rId15" display="https://www.maine-demographics.com/franklin-county-demographics" xr:uid="{DFCBBF27-184B-684F-A4CA-6E22F526FD32}"/>
    <hyperlink ref="B30" r:id="rId16" display="https://www.maine-demographics.com/piscataquis-county-demographics" xr:uid="{B3648E8B-F606-2943-945F-391D59565381}"/>
  </hyperlinks>
  <pageMargins left="0.7" right="0.7" top="0.75" bottom="0.75" header="0.3" footer="0.3"/>
  <tableParts count="3">
    <tablePart r:id="rId17"/>
    <tablePart r:id="rId18"/>
    <tablePart r:id="rId19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F964-ED8E-4140-8B97-EBBAD257573E}">
  <dimension ref="A1:S269"/>
  <sheetViews>
    <sheetView topLeftCell="N1" workbookViewId="0">
      <selection activeCell="R2" sqref="R2:R4"/>
    </sheetView>
  </sheetViews>
  <sheetFormatPr baseColWidth="10" defaultRowHeight="13"/>
  <cols>
    <col min="1" max="1" width="14.1640625" customWidth="1"/>
    <col min="2" max="2" width="25.5" customWidth="1"/>
    <col min="3" max="3" width="17.33203125" customWidth="1"/>
    <col min="4" max="4" width="16.1640625" customWidth="1"/>
    <col min="5" max="5" width="14.83203125" customWidth="1"/>
    <col min="8" max="8" width="30.83203125" bestFit="1" customWidth="1"/>
    <col min="9" max="9" width="17.33203125" customWidth="1"/>
    <col min="10" max="10" width="17.33203125" style="1" customWidth="1"/>
    <col min="11" max="11" width="14.5" customWidth="1"/>
    <col min="12" max="12" width="18.33203125" customWidth="1"/>
    <col min="13" max="13" width="18.33203125" style="1" customWidth="1"/>
    <col min="14" max="14" width="15.5" customWidth="1"/>
  </cols>
  <sheetData>
    <row r="1" spans="1:19" ht="21">
      <c r="A1" s="95" t="s">
        <v>64</v>
      </c>
      <c r="B1" s="95" t="s">
        <v>2885</v>
      </c>
      <c r="C1" s="95" t="s">
        <v>297</v>
      </c>
      <c r="D1" s="95" t="s">
        <v>1674</v>
      </c>
      <c r="E1" s="95" t="s">
        <v>2886</v>
      </c>
      <c r="F1" s="95" t="s">
        <v>1677</v>
      </c>
      <c r="H1" s="15" t="s">
        <v>165</v>
      </c>
      <c r="I1" s="15" t="s">
        <v>168</v>
      </c>
      <c r="J1" s="15" t="s">
        <v>1677</v>
      </c>
      <c r="K1" s="15" t="s">
        <v>169</v>
      </c>
      <c r="L1" s="15" t="s">
        <v>166</v>
      </c>
      <c r="M1" s="15" t="s">
        <v>1687</v>
      </c>
      <c r="N1" s="15" t="s">
        <v>167</v>
      </c>
      <c r="O1" s="15" t="s">
        <v>62</v>
      </c>
      <c r="R1" t="s">
        <v>267</v>
      </c>
      <c r="S1" t="s">
        <v>328</v>
      </c>
    </row>
    <row r="2" spans="1:19" ht="20">
      <c r="A2" s="78" t="s">
        <v>2887</v>
      </c>
      <c r="B2" s="78" t="s">
        <v>2888</v>
      </c>
      <c r="C2" s="78" t="s">
        <v>2889</v>
      </c>
      <c r="D2" s="78" t="s">
        <v>297</v>
      </c>
      <c r="E2" s="78">
        <v>35</v>
      </c>
      <c r="F2" s="78">
        <f>Table94[[#This Row],[SFY 2020]]/C137</f>
        <v>1.0749385749385749E-3</v>
      </c>
      <c r="H2" s="16" t="s">
        <v>2972</v>
      </c>
      <c r="I2" s="17">
        <v>7578</v>
      </c>
      <c r="J2" s="80">
        <f>Table95[[#This Row],[BIDEN VOTES]]/C137</f>
        <v>0.23273955773955773</v>
      </c>
      <c r="K2" s="18">
        <v>0.44700000000000001</v>
      </c>
      <c r="L2" s="17">
        <v>9172</v>
      </c>
      <c r="M2" s="80">
        <f>Table95[[#This Row],[TRUMP VOTES]]/C137</f>
        <v>0.28169533169533167</v>
      </c>
      <c r="N2" s="18">
        <v>0.54200000000000004</v>
      </c>
      <c r="O2" s="80">
        <f>1-(Table95[[#This Row],[NbP]]+Table95[[#This Row],[NbP2]])</f>
        <v>0.48556511056511065</v>
      </c>
      <c r="Q2" t="s">
        <v>1672</v>
      </c>
      <c r="R2">
        <f>CORREL(F:F,J:J)</f>
        <v>-0.46791484318896159</v>
      </c>
      <c r="S2">
        <v>0.05</v>
      </c>
    </row>
    <row r="3" spans="1:19" ht="20">
      <c r="A3" s="78" t="s">
        <v>2890</v>
      </c>
      <c r="B3" s="78" t="s">
        <v>2888</v>
      </c>
      <c r="C3" s="78" t="s">
        <v>2889</v>
      </c>
      <c r="D3" s="78" t="s">
        <v>297</v>
      </c>
      <c r="E3" s="78">
        <v>58</v>
      </c>
      <c r="F3" s="78">
        <f>Table94[[#This Row],[SFY 2020]]/C138</f>
        <v>5.3299515709572779E-4</v>
      </c>
      <c r="H3" s="16" t="s">
        <v>2973</v>
      </c>
      <c r="I3" s="17">
        <v>42466</v>
      </c>
      <c r="J3" s="80">
        <f>Table95[[#This Row],[BIDEN VOTES]]/C138</f>
        <v>0.39024435071081337</v>
      </c>
      <c r="K3" s="18">
        <v>0.66100000000000003</v>
      </c>
      <c r="L3" s="17">
        <v>20804</v>
      </c>
      <c r="M3" s="80">
        <f>Table95[[#This Row],[TRUMP VOTES]]/C138</f>
        <v>0.19117984910723312</v>
      </c>
      <c r="N3" s="18">
        <v>0.32400000000000001</v>
      </c>
      <c r="O3" s="80">
        <f>1-(Table95[[#This Row],[NbP]]+Table95[[#This Row],[NbP2]])</f>
        <v>0.41857580018195351</v>
      </c>
      <c r="Q3" t="s">
        <v>1671</v>
      </c>
      <c r="R3">
        <f>CORREL(F:F,M:M)</f>
        <v>0.17432863439205579</v>
      </c>
      <c r="S3" s="1">
        <v>0.05</v>
      </c>
    </row>
    <row r="4" spans="1:19" ht="20">
      <c r="A4" s="78" t="s">
        <v>2891</v>
      </c>
      <c r="B4" s="78" t="s">
        <v>2888</v>
      </c>
      <c r="C4" s="78" t="s">
        <v>2889</v>
      </c>
      <c r="D4" s="78" t="s">
        <v>297</v>
      </c>
      <c r="E4" s="78">
        <v>54</v>
      </c>
      <c r="F4" s="78">
        <f>Table94[[#This Row],[SFY 2020]]/C139</f>
        <v>3.4110505403988403E-4</v>
      </c>
      <c r="H4" s="16" t="s">
        <v>3016</v>
      </c>
      <c r="I4" s="17">
        <v>66240</v>
      </c>
      <c r="J4" s="80">
        <f>Table95[[#This Row],[BIDEN VOTES]]/C139</f>
        <v>0.41842219962225774</v>
      </c>
      <c r="K4" s="18">
        <v>0.81</v>
      </c>
      <c r="L4" s="17">
        <v>14544</v>
      </c>
      <c r="M4" s="80">
        <f>Table95[[#This Row],[TRUMP VOTES]]/C139</f>
        <v>9.1870961221408767E-2</v>
      </c>
      <c r="N4" s="18">
        <v>0.17799999999999999</v>
      </c>
      <c r="O4" s="80">
        <f>1-(Table95[[#This Row],[NbP]]+Table95[[#This Row],[NbP2]])</f>
        <v>0.48970683915633351</v>
      </c>
      <c r="Q4" t="s">
        <v>1679</v>
      </c>
      <c r="R4">
        <f>CORREL(F:F,O:O)</f>
        <v>0.28034115769905377</v>
      </c>
      <c r="S4" s="1">
        <v>0.05</v>
      </c>
    </row>
    <row r="5" spans="1:19" ht="20">
      <c r="A5" s="78" t="s">
        <v>2393</v>
      </c>
      <c r="B5" s="78" t="s">
        <v>2888</v>
      </c>
      <c r="C5" s="78" t="s">
        <v>2889</v>
      </c>
      <c r="D5" s="78" t="s">
        <v>297</v>
      </c>
      <c r="E5" s="78">
        <v>26</v>
      </c>
      <c r="F5" s="78">
        <f>Table94[[#This Row],[SFY 2020]]/C140</f>
        <v>1.7298735861610113E-3</v>
      </c>
      <c r="H5" s="16" t="s">
        <v>2454</v>
      </c>
      <c r="I5" s="17">
        <v>2243</v>
      </c>
      <c r="J5" s="80">
        <f>Table95[[#This Row],[BIDEN VOTES]]/C140</f>
        <v>0.14923486360612109</v>
      </c>
      <c r="K5" s="18">
        <v>0.27400000000000002</v>
      </c>
      <c r="L5" s="17">
        <v>5859</v>
      </c>
      <c r="M5" s="80">
        <f>Table95[[#This Row],[TRUMP VOTES]]/C140</f>
        <v>0.3898203592814371</v>
      </c>
      <c r="N5" s="18">
        <v>0.71499999999999997</v>
      </c>
      <c r="O5" s="80">
        <f>1-(Table95[[#This Row],[NbP]]+Table95[[#This Row],[NbP2]])</f>
        <v>0.46094477711244175</v>
      </c>
    </row>
    <row r="6" spans="1:19" ht="20">
      <c r="A6" s="78" t="s">
        <v>2892</v>
      </c>
      <c r="B6" s="78" t="s">
        <v>2888</v>
      </c>
      <c r="C6" s="78" t="s">
        <v>2889</v>
      </c>
      <c r="D6" s="78" t="s">
        <v>297</v>
      </c>
      <c r="E6" s="78">
        <v>3</v>
      </c>
      <c r="F6" s="78">
        <f>Table94[[#This Row],[SFY 2020]]/C141</f>
        <v>2.313030069390902E-4</v>
      </c>
      <c r="H6" s="16" t="s">
        <v>2974</v>
      </c>
      <c r="I6" s="17">
        <v>2411</v>
      </c>
      <c r="J6" s="80">
        <f>Table95[[#This Row],[BIDEN VOTES]]/C141</f>
        <v>0.18589051657671549</v>
      </c>
      <c r="K6" s="18">
        <v>0.30599999999999999</v>
      </c>
      <c r="L6" s="17">
        <v>5390</v>
      </c>
      <c r="M6" s="80">
        <f>Table95[[#This Row],[TRUMP VOTES]]/C141</f>
        <v>0.4155744024672321</v>
      </c>
      <c r="N6" s="18">
        <v>0.68400000000000005</v>
      </c>
      <c r="O6" s="80">
        <f>1-(Table95[[#This Row],[NbP]]+Table95[[#This Row],[NbP2]])</f>
        <v>0.39853508095605239</v>
      </c>
    </row>
    <row r="7" spans="1:19" ht="20">
      <c r="A7" s="78" t="s">
        <v>2893</v>
      </c>
      <c r="B7" s="78" t="s">
        <v>2888</v>
      </c>
      <c r="C7" s="78" t="s">
        <v>2889</v>
      </c>
      <c r="D7" s="78" t="s">
        <v>297</v>
      </c>
      <c r="E7" s="78">
        <v>26</v>
      </c>
      <c r="F7" s="78">
        <f>Table94[[#This Row],[SFY 2020]]/C142</f>
        <v>8.1807312315146938E-4</v>
      </c>
      <c r="H7" s="16" t="s">
        <v>2975</v>
      </c>
      <c r="I7" s="17">
        <v>5672</v>
      </c>
      <c r="J7" s="80">
        <f>Table95[[#This Row],[BIDEN VOTES]]/C142</f>
        <v>0.17846579825058209</v>
      </c>
      <c r="K7" s="18">
        <v>0.33400000000000002</v>
      </c>
      <c r="L7" s="17">
        <v>11041</v>
      </c>
      <c r="M7" s="80">
        <f>Table95[[#This Row],[TRUMP VOTES]]/C142</f>
        <v>0.34739789818136052</v>
      </c>
      <c r="N7" s="18">
        <v>0.65100000000000002</v>
      </c>
      <c r="O7" s="80">
        <f>1-(Table95[[#This Row],[NbP]]+Table95[[#This Row],[NbP2]])</f>
        <v>0.47413630356805736</v>
      </c>
    </row>
    <row r="8" spans="1:19" ht="20">
      <c r="A8" s="78" t="s">
        <v>2894</v>
      </c>
      <c r="B8" s="78" t="s">
        <v>2888</v>
      </c>
      <c r="C8" s="78" t="s">
        <v>2889</v>
      </c>
      <c r="D8" s="78" t="s">
        <v>297</v>
      </c>
      <c r="E8" s="78">
        <v>8</v>
      </c>
      <c r="F8" s="78">
        <f>Table94[[#This Row],[SFY 2020]]/C143</f>
        <v>5.0588086505627921E-4</v>
      </c>
      <c r="H8" s="16" t="s">
        <v>2976</v>
      </c>
      <c r="I8" s="17">
        <v>2418</v>
      </c>
      <c r="J8" s="80">
        <f>Table95[[#This Row],[BIDEN VOTES]]/C143</f>
        <v>0.1529024914632604</v>
      </c>
      <c r="K8" s="18">
        <v>0.26200000000000001</v>
      </c>
      <c r="L8" s="17">
        <v>6702</v>
      </c>
      <c r="M8" s="80">
        <f>Table95[[#This Row],[TRUMP VOTES]]/C143</f>
        <v>0.42380169470089796</v>
      </c>
      <c r="N8" s="18">
        <v>0.72499999999999998</v>
      </c>
      <c r="O8" s="80">
        <f>1-(Table95[[#This Row],[NbP]]+Table95[[#This Row],[NbP2]])</f>
        <v>0.42329581383584158</v>
      </c>
    </row>
    <row r="9" spans="1:19" ht="20">
      <c r="A9" s="78" t="s">
        <v>2895</v>
      </c>
      <c r="B9" s="78" t="s">
        <v>2888</v>
      </c>
      <c r="C9" s="78" t="s">
        <v>2889</v>
      </c>
      <c r="D9" s="78" t="s">
        <v>297</v>
      </c>
      <c r="E9" s="78">
        <v>41</v>
      </c>
      <c r="F9" s="78">
        <f>Table94[[#This Row],[SFY 2020]]/C144</f>
        <v>1.7340991566356786E-4</v>
      </c>
      <c r="H9" s="16" t="s">
        <v>2977</v>
      </c>
      <c r="I9" s="17">
        <v>105344</v>
      </c>
      <c r="J9" s="80">
        <f>Table95[[#This Row],[BIDEN VOTES]]/C144</f>
        <v>0.44555351599177784</v>
      </c>
      <c r="K9" s="18">
        <v>0.81299999999999994</v>
      </c>
      <c r="L9" s="17">
        <v>22318</v>
      </c>
      <c r="M9" s="80">
        <f>Table95[[#This Row],[TRUMP VOTES]]/C144</f>
        <v>9.4394207262914809E-2</v>
      </c>
      <c r="N9" s="18">
        <v>0.17199999999999999</v>
      </c>
      <c r="O9" s="80">
        <f>1-(Table95[[#This Row],[NbP]]+Table95[[#This Row],[NbP2]])</f>
        <v>0.46005227674530735</v>
      </c>
    </row>
    <row r="10" spans="1:19" ht="20">
      <c r="A10" s="78" t="s">
        <v>2896</v>
      </c>
      <c r="B10" s="78" t="s">
        <v>2888</v>
      </c>
      <c r="C10" s="78" t="s">
        <v>2889</v>
      </c>
      <c r="D10" s="78" t="s">
        <v>297</v>
      </c>
      <c r="E10" s="78">
        <v>80</v>
      </c>
      <c r="F10" s="78">
        <f>Table94[[#This Row],[SFY 2020]]/C145</f>
        <v>1.0560498455527102E-3</v>
      </c>
      <c r="H10" s="16" t="s">
        <v>2978</v>
      </c>
      <c r="I10" s="17">
        <v>10840</v>
      </c>
      <c r="J10" s="80">
        <f>Table95[[#This Row],[BIDEN VOTES]]/C145</f>
        <v>0.14309475407239222</v>
      </c>
      <c r="K10" s="18">
        <v>0.25700000000000001</v>
      </c>
      <c r="L10" s="17">
        <v>30714</v>
      </c>
      <c r="M10" s="80">
        <f>Table95[[#This Row],[TRUMP VOTES]]/C145</f>
        <v>0.40544393695382425</v>
      </c>
      <c r="N10" s="18">
        <v>0.72799999999999998</v>
      </c>
      <c r="O10" s="80">
        <f>1-(Table95[[#This Row],[NbP]]+Table95[[#This Row],[NbP2]])</f>
        <v>0.45146130897378356</v>
      </c>
    </row>
    <row r="11" spans="1:19" ht="20">
      <c r="A11" s="78" t="s">
        <v>1576</v>
      </c>
      <c r="B11" s="78" t="s">
        <v>2888</v>
      </c>
      <c r="C11" s="78" t="s">
        <v>2889</v>
      </c>
      <c r="D11" s="78" t="s">
        <v>297</v>
      </c>
      <c r="E11" s="78">
        <v>2</v>
      </c>
      <c r="F11" s="78">
        <f>Table94[[#This Row],[SFY 2020]]/C146</f>
        <v>4.7080979284369113E-4</v>
      </c>
      <c r="H11" s="16" t="s">
        <v>1625</v>
      </c>
      <c r="I11" s="19">
        <v>646</v>
      </c>
      <c r="J11" s="80">
        <f>Table95[[#This Row],[BIDEN VOTES]]/C146</f>
        <v>0.15207156308851225</v>
      </c>
      <c r="K11" s="18">
        <v>0.25900000000000001</v>
      </c>
      <c r="L11" s="17">
        <v>1834</v>
      </c>
      <c r="M11" s="80">
        <f>Table95[[#This Row],[TRUMP VOTES]]/C146</f>
        <v>0.43173258003766479</v>
      </c>
      <c r="N11" s="18">
        <v>0.73499999999999999</v>
      </c>
      <c r="O11" s="80">
        <f>1-(Table95[[#This Row],[NbP]]+Table95[[#This Row],[NbP2]])</f>
        <v>0.41619585687382299</v>
      </c>
    </row>
    <row r="12" spans="1:19" ht="20">
      <c r="A12" s="78" t="s">
        <v>171</v>
      </c>
      <c r="B12" s="78" t="s">
        <v>2888</v>
      </c>
      <c r="C12" s="78" t="s">
        <v>2889</v>
      </c>
      <c r="D12" s="78" t="s">
        <v>297</v>
      </c>
      <c r="E12" s="78">
        <v>89</v>
      </c>
      <c r="F12" s="78">
        <f>Table94[[#This Row],[SFY 2020]]/C147</f>
        <v>1.1270816184385487E-3</v>
      </c>
      <c r="H12" s="16" t="s">
        <v>171</v>
      </c>
      <c r="I12" s="17">
        <v>12176</v>
      </c>
      <c r="J12" s="80">
        <f>Table95[[#This Row],[BIDEN VOTES]]/C147</f>
        <v>0.15419489647312101</v>
      </c>
      <c r="K12" s="18">
        <v>0.251</v>
      </c>
      <c r="L12" s="17">
        <v>35600</v>
      </c>
      <c r="M12" s="80">
        <f>Table95[[#This Row],[TRUMP VOTES]]/C147</f>
        <v>0.4508326473754195</v>
      </c>
      <c r="N12" s="18">
        <v>0.73399999999999999</v>
      </c>
      <c r="O12" s="80">
        <f>1-(Table95[[#This Row],[NbP]]+Table95[[#This Row],[NbP2]])</f>
        <v>0.39497245615145948</v>
      </c>
    </row>
    <row r="13" spans="1:19" ht="20">
      <c r="A13" s="78" t="s">
        <v>2897</v>
      </c>
      <c r="B13" s="78" t="s">
        <v>2888</v>
      </c>
      <c r="C13" s="78" t="s">
        <v>2889</v>
      </c>
      <c r="D13" s="78" t="s">
        <v>297</v>
      </c>
      <c r="E13" s="78">
        <v>12</v>
      </c>
      <c r="F13" s="78">
        <f>Table94[[#This Row],[SFY 2020]]/C148</f>
        <v>1.8945374171139881E-3</v>
      </c>
      <c r="H13" s="16" t="s">
        <v>2979</v>
      </c>
      <c r="I13" s="19">
        <v>532</v>
      </c>
      <c r="J13" s="80">
        <f>Table95[[#This Row],[BIDEN VOTES]]/C148</f>
        <v>8.3991158825386797E-2</v>
      </c>
      <c r="K13" s="18">
        <v>0.153</v>
      </c>
      <c r="L13" s="17">
        <v>2903</v>
      </c>
      <c r="M13" s="80">
        <f>Table95[[#This Row],[TRUMP VOTES]]/C148</f>
        <v>0.45832017682349224</v>
      </c>
      <c r="N13" s="18">
        <v>0.83499999999999996</v>
      </c>
      <c r="O13" s="80">
        <f>1-(Table95[[#This Row],[NbP]]+Table95[[#This Row],[NbP2]])</f>
        <v>0.45768866435112099</v>
      </c>
    </row>
    <row r="14" spans="1:19" ht="20">
      <c r="A14" s="78" t="s">
        <v>2898</v>
      </c>
      <c r="B14" s="78" t="s">
        <v>2888</v>
      </c>
      <c r="C14" s="78" t="s">
        <v>2889</v>
      </c>
      <c r="D14" s="78" t="s">
        <v>297</v>
      </c>
      <c r="E14" s="78">
        <v>24</v>
      </c>
      <c r="F14" s="78">
        <f>Table94[[#This Row],[SFY 2020]]/C149</f>
        <v>7.1770334928229664E-4</v>
      </c>
      <c r="H14" s="16" t="s">
        <v>2980</v>
      </c>
      <c r="I14" s="17">
        <v>5700</v>
      </c>
      <c r="J14" s="80">
        <f>Table95[[#This Row],[BIDEN VOTES]]/C149</f>
        <v>0.17045454545454544</v>
      </c>
      <c r="K14" s="18">
        <v>0.27100000000000002</v>
      </c>
      <c r="L14" s="17">
        <v>15099</v>
      </c>
      <c r="M14" s="80">
        <f>Table95[[#This Row],[TRUMP VOTES]]/C149</f>
        <v>0.45152511961722486</v>
      </c>
      <c r="N14" s="18">
        <v>0.71699999999999997</v>
      </c>
      <c r="O14" s="80">
        <f>1-(Table95[[#This Row],[NbP]]+Table95[[#This Row],[NbP2]])</f>
        <v>0.37802033492822973</v>
      </c>
    </row>
    <row r="15" spans="1:19" ht="20">
      <c r="A15" s="78" t="s">
        <v>2899</v>
      </c>
      <c r="B15" s="78" t="s">
        <v>2888</v>
      </c>
      <c r="C15" s="78" t="s">
        <v>2889</v>
      </c>
      <c r="D15" s="78" t="s">
        <v>297</v>
      </c>
      <c r="E15" s="78">
        <v>58</v>
      </c>
      <c r="F15" s="78">
        <f>Table94[[#This Row],[SFY 2020]]/C150</f>
        <v>3.3999648279500558E-3</v>
      </c>
      <c r="H15" s="16" t="s">
        <v>3017</v>
      </c>
      <c r="I15" s="17">
        <v>2313</v>
      </c>
      <c r="J15" s="80">
        <f>Table95[[#This Row],[BIDEN VOTES]]/C150</f>
        <v>0.13558825253531859</v>
      </c>
      <c r="K15" s="18">
        <v>0.29699999999999999</v>
      </c>
      <c r="L15" s="17">
        <v>5347</v>
      </c>
      <c r="M15" s="80">
        <f>Table95[[#This Row],[TRUMP VOTES]]/C150</f>
        <v>0.31344158508705083</v>
      </c>
      <c r="N15" s="18">
        <v>0.68700000000000006</v>
      </c>
      <c r="O15" s="80">
        <f>1-(Table95[[#This Row],[NbP]]+Table95[[#This Row],[NbP2]])</f>
        <v>0.55097016237763063</v>
      </c>
    </row>
    <row r="16" spans="1:19" ht="20">
      <c r="A16" s="78" t="s">
        <v>2400</v>
      </c>
      <c r="B16" s="78" t="s">
        <v>2888</v>
      </c>
      <c r="C16" s="78" t="s">
        <v>2889</v>
      </c>
      <c r="D16" s="78" t="s">
        <v>297</v>
      </c>
      <c r="E16" s="78">
        <v>4</v>
      </c>
      <c r="F16" s="78">
        <f>Table94[[#This Row],[SFY 2020]]/C151</f>
        <v>2.4485798237022528E-4</v>
      </c>
      <c r="H16" s="16" t="s">
        <v>2461</v>
      </c>
      <c r="I16" s="17">
        <v>4552</v>
      </c>
      <c r="J16" s="80">
        <f>Table95[[#This Row],[BIDEN VOTES]]/C151</f>
        <v>0.27864838393731634</v>
      </c>
      <c r="K16" s="18">
        <v>0.57299999999999995</v>
      </c>
      <c r="L16" s="17">
        <v>3357</v>
      </c>
      <c r="M16" s="80">
        <f>Table95[[#This Row],[TRUMP VOTES]]/C151</f>
        <v>0.20549706170421156</v>
      </c>
      <c r="N16" s="18">
        <v>0.42299999999999999</v>
      </c>
      <c r="O16" s="80">
        <f>1-(Table95[[#This Row],[NbP]]+Table95[[#This Row],[NbP2]])</f>
        <v>0.51585455435847205</v>
      </c>
    </row>
    <row r="17" spans="1:15" ht="20">
      <c r="A17" s="78" t="s">
        <v>1495</v>
      </c>
      <c r="B17" s="78" t="s">
        <v>2888</v>
      </c>
      <c r="C17" s="78" t="s">
        <v>2889</v>
      </c>
      <c r="D17" s="78" t="s">
        <v>297</v>
      </c>
      <c r="E17" s="78">
        <v>37</v>
      </c>
      <c r="F17" s="78">
        <f>Table94[[#This Row],[SFY 2020]]/C152</f>
        <v>1.731075138018153E-3</v>
      </c>
      <c r="H17" s="16" t="s">
        <v>1537</v>
      </c>
      <c r="I17" s="17">
        <v>1587</v>
      </c>
      <c r="J17" s="80">
        <f>Table95[[#This Row],[BIDEN VOTES]]/C152</f>
        <v>7.4249087676616449E-2</v>
      </c>
      <c r="K17" s="18">
        <v>0.16</v>
      </c>
      <c r="L17" s="17">
        <v>8311</v>
      </c>
      <c r="M17" s="80">
        <f>Table95[[#This Row],[TRUMP VOTES]]/C152</f>
        <v>0.38883690465050996</v>
      </c>
      <c r="N17" s="18">
        <v>0.83599999999999997</v>
      </c>
      <c r="O17" s="80">
        <f>1-(Table95[[#This Row],[NbP]]+Table95[[#This Row],[NbP2]])</f>
        <v>0.53691400767287356</v>
      </c>
    </row>
    <row r="18" spans="1:15" ht="20">
      <c r="A18" s="78" t="s">
        <v>2900</v>
      </c>
      <c r="B18" s="78" t="s">
        <v>2888</v>
      </c>
      <c r="C18" s="78" t="s">
        <v>2889</v>
      </c>
      <c r="D18" s="78" t="s">
        <v>297</v>
      </c>
      <c r="E18" s="78">
        <v>19</v>
      </c>
      <c r="F18" s="78">
        <f>Table94[[#This Row],[SFY 2020]]/C153</f>
        <v>1.1119564581260608E-3</v>
      </c>
      <c r="H18" s="16" t="s">
        <v>2981</v>
      </c>
      <c r="I18" s="17">
        <v>3471</v>
      </c>
      <c r="J18" s="80">
        <f>Table95[[#This Row],[BIDEN VOTES]]/C153</f>
        <v>0.20313688769239774</v>
      </c>
      <c r="K18" s="18">
        <v>0.42799999999999999</v>
      </c>
      <c r="L18" s="17">
        <v>4544</v>
      </c>
      <c r="M18" s="80">
        <f>Table95[[#This Row],[TRUMP VOTES]]/C153</f>
        <v>0.26593316556446422</v>
      </c>
      <c r="N18" s="18">
        <v>0.56000000000000005</v>
      </c>
      <c r="O18" s="80">
        <f>1-(Table95[[#This Row],[NbP]]+Table95[[#This Row],[NbP2]])</f>
        <v>0.53092994674313809</v>
      </c>
    </row>
    <row r="19" spans="1:15" ht="20">
      <c r="A19" s="78" t="s">
        <v>1496</v>
      </c>
      <c r="B19" s="78" t="s">
        <v>2888</v>
      </c>
      <c r="C19" s="78" t="s">
        <v>2889</v>
      </c>
      <c r="D19" s="78" t="s">
        <v>297</v>
      </c>
      <c r="E19" s="78">
        <v>0</v>
      </c>
      <c r="F19" s="78">
        <f>Table94[[#This Row],[SFY 2020]]/C154</f>
        <v>0</v>
      </c>
      <c r="H19" s="16" t="s">
        <v>3018</v>
      </c>
      <c r="I19" s="19">
        <v>825</v>
      </c>
      <c r="J19" s="80">
        <f>Table95[[#This Row],[BIDEN VOTES]]/C154</f>
        <v>0.12737378415933304</v>
      </c>
      <c r="K19" s="18">
        <v>0.29899999999999999</v>
      </c>
      <c r="L19" s="17">
        <v>1863</v>
      </c>
      <c r="M19" s="80">
        <f>Table95[[#This Row],[TRUMP VOTES]]/C154</f>
        <v>0.2876331635016211</v>
      </c>
      <c r="N19" s="18">
        <v>0.67500000000000004</v>
      </c>
      <c r="O19" s="80">
        <f>1-(Table95[[#This Row],[NbP]]+Table95[[#This Row],[NbP2]])</f>
        <v>0.58499305233904586</v>
      </c>
    </row>
    <row r="20" spans="1:15" ht="20">
      <c r="A20" s="78" t="s">
        <v>77</v>
      </c>
      <c r="B20" s="78" t="s">
        <v>2888</v>
      </c>
      <c r="C20" s="78" t="s">
        <v>2889</v>
      </c>
      <c r="D20" s="78" t="s">
        <v>297</v>
      </c>
      <c r="E20" s="78">
        <v>48</v>
      </c>
      <c r="F20" s="78">
        <f>Table94[[#This Row],[SFY 2020]]/C155</f>
        <v>8.6633216619138719E-4</v>
      </c>
      <c r="H20" s="16" t="s">
        <v>176</v>
      </c>
      <c r="I20" s="17">
        <v>8070</v>
      </c>
      <c r="J20" s="80">
        <f>Table95[[#This Row],[BIDEN VOTES]]/C155</f>
        <v>0.14565209544092697</v>
      </c>
      <c r="K20" s="18">
        <v>0.27100000000000002</v>
      </c>
      <c r="L20" s="17">
        <v>21245</v>
      </c>
      <c r="M20" s="80">
        <f>Table95[[#This Row],[TRUMP VOTES]]/C155</f>
        <v>0.3834422264736671</v>
      </c>
      <c r="N20" s="18">
        <v>0.71299999999999997</v>
      </c>
      <c r="O20" s="80">
        <f>1-(Table95[[#This Row],[NbP]]+Table95[[#This Row],[NbP2]])</f>
        <v>0.47090567808540595</v>
      </c>
    </row>
    <row r="21" spans="1:15" ht="20">
      <c r="A21" s="78" t="s">
        <v>1719</v>
      </c>
      <c r="B21" s="78" t="s">
        <v>2888</v>
      </c>
      <c r="C21" s="78" t="s">
        <v>2889</v>
      </c>
      <c r="D21" s="78" t="s">
        <v>297</v>
      </c>
      <c r="E21" s="78">
        <v>3</v>
      </c>
      <c r="F21" s="78">
        <f>Table94[[#This Row],[SFY 2020]]/C156</f>
        <v>9.8100127530165789E-5</v>
      </c>
      <c r="H21" s="16" t="s">
        <v>1743</v>
      </c>
      <c r="I21" s="17">
        <v>7657</v>
      </c>
      <c r="J21" s="80">
        <f>Table95[[#This Row],[BIDEN VOTES]]/C156</f>
        <v>0.25038422549949313</v>
      </c>
      <c r="K21" s="18">
        <v>0.47099999999999997</v>
      </c>
      <c r="L21" s="17">
        <v>8336</v>
      </c>
      <c r="M21" s="80">
        <f>Table95[[#This Row],[TRUMP VOTES]]/C156</f>
        <v>0.27258755436382065</v>
      </c>
      <c r="N21" s="18">
        <v>0.51300000000000001</v>
      </c>
      <c r="O21" s="80">
        <f>1-(Table95[[#This Row],[NbP]]+Table95[[#This Row],[NbP2]])</f>
        <v>0.47702822013668622</v>
      </c>
    </row>
    <row r="22" spans="1:15" ht="20">
      <c r="A22" s="78" t="s">
        <v>79</v>
      </c>
      <c r="B22" s="78" t="s">
        <v>2888</v>
      </c>
      <c r="C22" s="78" t="s">
        <v>2889</v>
      </c>
      <c r="D22" s="78" t="s">
        <v>297</v>
      </c>
      <c r="E22" s="78">
        <v>56</v>
      </c>
      <c r="F22" s="78">
        <f>Table94[[#This Row],[SFY 2020]]/C157</f>
        <v>1.8722209220688041E-3</v>
      </c>
      <c r="H22" s="16" t="s">
        <v>178</v>
      </c>
      <c r="I22" s="17">
        <v>2842</v>
      </c>
      <c r="J22" s="80">
        <f>Table95[[#This Row],[BIDEN VOTES]]/C157</f>
        <v>9.5015211794991811E-2</v>
      </c>
      <c r="K22" s="18">
        <v>0.182</v>
      </c>
      <c r="L22" s="17">
        <v>12659</v>
      </c>
      <c r="M22" s="80">
        <f>Table95[[#This Row],[TRUMP VOTES]]/C157</f>
        <v>0.42322222593694625</v>
      </c>
      <c r="N22" s="18">
        <v>0.81</v>
      </c>
      <c r="O22" s="80">
        <f>1-(Table95[[#This Row],[NbP]]+Table95[[#This Row],[NbP2]])</f>
        <v>0.48176256226806191</v>
      </c>
    </row>
    <row r="23" spans="1:15" ht="20">
      <c r="A23" s="78" t="s">
        <v>2901</v>
      </c>
      <c r="B23" s="78" t="s">
        <v>2888</v>
      </c>
      <c r="C23" s="78" t="s">
        <v>2889</v>
      </c>
      <c r="D23" s="78" t="s">
        <v>297</v>
      </c>
      <c r="E23" s="78">
        <v>11</v>
      </c>
      <c r="F23" s="78">
        <f>Table94[[#This Row],[SFY 2020]]/C158</f>
        <v>1.5793251974156497E-3</v>
      </c>
      <c r="H23" s="16" t="s">
        <v>2982</v>
      </c>
      <c r="I23" s="17">
        <v>2624</v>
      </c>
      <c r="J23" s="80">
        <f>Table95[[#This Row],[BIDEN VOTES]]/C158</f>
        <v>0.37674084709260591</v>
      </c>
      <c r="K23" s="18">
        <v>0.59099999999999997</v>
      </c>
      <c r="L23" s="17">
        <v>1761</v>
      </c>
      <c r="M23" s="80">
        <f>Table95[[#This Row],[TRUMP VOTES]]/C158</f>
        <v>0.25283560660445081</v>
      </c>
      <c r="N23" s="18">
        <v>0.39700000000000002</v>
      </c>
      <c r="O23" s="80">
        <f>1-(Table95[[#This Row],[NbP]]+Table95[[#This Row],[NbP2]])</f>
        <v>0.37042354630294327</v>
      </c>
    </row>
    <row r="24" spans="1:15" ht="20">
      <c r="A24" s="78" t="s">
        <v>2902</v>
      </c>
      <c r="B24" s="78" t="s">
        <v>2888</v>
      </c>
      <c r="C24" s="78" t="s">
        <v>2889</v>
      </c>
      <c r="D24" s="78" t="s">
        <v>297</v>
      </c>
      <c r="E24" s="78">
        <v>9</v>
      </c>
      <c r="F24" s="78">
        <f>Table94[[#This Row],[SFY 2020]]/C159</f>
        <v>7.5294905044758637E-4</v>
      </c>
      <c r="H24" s="16" t="s">
        <v>2983</v>
      </c>
      <c r="I24" s="17">
        <v>2317</v>
      </c>
      <c r="J24" s="80">
        <f>Table95[[#This Row],[BIDEN VOTES]]/C159</f>
        <v>0.19384254998745085</v>
      </c>
      <c r="K24" s="18">
        <v>0.375</v>
      </c>
      <c r="L24" s="17">
        <v>3815</v>
      </c>
      <c r="M24" s="80">
        <f>Table95[[#This Row],[TRUMP VOTES]]/C159</f>
        <v>0.31916673638417131</v>
      </c>
      <c r="N24" s="18">
        <v>0.61699999999999999</v>
      </c>
      <c r="O24" s="80">
        <f>1-(Table95[[#This Row],[NbP]]+Table95[[#This Row],[NbP2]])</f>
        <v>0.48699071362837787</v>
      </c>
    </row>
    <row r="25" spans="1:15" ht="20">
      <c r="A25" s="78" t="s">
        <v>2903</v>
      </c>
      <c r="B25" s="78" t="s">
        <v>2888</v>
      </c>
      <c r="C25" s="78" t="s">
        <v>2889</v>
      </c>
      <c r="D25" s="78" t="s">
        <v>297</v>
      </c>
      <c r="E25" s="78">
        <v>33</v>
      </c>
      <c r="F25" s="78">
        <f>Table94[[#This Row],[SFY 2020]]/C160</f>
        <v>6.9890081962005208E-4</v>
      </c>
      <c r="H25" s="16" t="s">
        <v>3019</v>
      </c>
      <c r="I25" s="17">
        <v>20696</v>
      </c>
      <c r="J25" s="80">
        <f>Table95[[#This Row],[BIDEN VOTES]]/C160</f>
        <v>0.43831670796535144</v>
      </c>
      <c r="K25" s="18">
        <v>0.85899999999999999</v>
      </c>
      <c r="L25" s="17">
        <v>3094</v>
      </c>
      <c r="M25" s="80">
        <f>Table95[[#This Row],[TRUMP VOTES]]/C160</f>
        <v>6.5527246542558829E-2</v>
      </c>
      <c r="N25" s="18">
        <v>0.128</v>
      </c>
      <c r="O25" s="80">
        <f>1-(Table95[[#This Row],[NbP]]+Table95[[#This Row],[NbP2]])</f>
        <v>0.49615604549208969</v>
      </c>
    </row>
    <row r="26" spans="1:15" ht="20">
      <c r="A26" s="78" t="s">
        <v>2904</v>
      </c>
      <c r="B26" s="78" t="s">
        <v>2888</v>
      </c>
      <c r="C26" s="78" t="s">
        <v>2889</v>
      </c>
      <c r="D26" s="78" t="s">
        <v>297</v>
      </c>
      <c r="E26" s="78">
        <v>126</v>
      </c>
      <c r="F26" s="78">
        <f>Table94[[#This Row],[SFY 2020]]/C161</f>
        <v>5.192728531570553E-4</v>
      </c>
      <c r="H26" s="16" t="s">
        <v>3020</v>
      </c>
      <c r="I26" s="17">
        <v>66377</v>
      </c>
      <c r="J26" s="80">
        <f>Table95[[#This Row],[BIDEN VOTES]]/C161</f>
        <v>0.27355376328576081</v>
      </c>
      <c r="K26" s="18">
        <v>0.52400000000000002</v>
      </c>
      <c r="L26" s="17">
        <v>58180</v>
      </c>
      <c r="M26" s="80">
        <f>Table95[[#This Row],[TRUMP VOTES]]/C161</f>
        <v>0.23977217933871015</v>
      </c>
      <c r="N26" s="18">
        <v>0.45900000000000002</v>
      </c>
      <c r="O26" s="80">
        <f>1-(Table95[[#This Row],[NbP]]+Table95[[#This Row],[NbP2]])</f>
        <v>0.48667405737552905</v>
      </c>
    </row>
    <row r="27" spans="1:15" ht="20">
      <c r="A27" s="78" t="s">
        <v>2801</v>
      </c>
      <c r="B27" s="78" t="s">
        <v>2888</v>
      </c>
      <c r="C27" s="78" t="s">
        <v>2889</v>
      </c>
      <c r="D27" s="78" t="s">
        <v>297</v>
      </c>
      <c r="E27" s="78">
        <v>91</v>
      </c>
      <c r="F27" s="78">
        <f>Table94[[#This Row],[SFY 2020]]/C162</f>
        <v>2.6111908177905307E-4</v>
      </c>
      <c r="H27" s="16" t="s">
        <v>2828</v>
      </c>
      <c r="I27" s="17">
        <v>106935</v>
      </c>
      <c r="J27" s="80">
        <f>Table95[[#This Row],[BIDEN VOTES]]/C162</f>
        <v>0.30684361549497846</v>
      </c>
      <c r="K27" s="18">
        <v>0.52600000000000002</v>
      </c>
      <c r="L27" s="17">
        <v>93326</v>
      </c>
      <c r="M27" s="80">
        <f>Table95[[#This Row],[TRUMP VOTES]]/C162</f>
        <v>0.26779340028694404</v>
      </c>
      <c r="N27" s="18">
        <v>0.45900000000000002</v>
      </c>
      <c r="O27" s="80">
        <f>1-(Table95[[#This Row],[NbP]]+Table95[[#This Row],[NbP2]])</f>
        <v>0.4253629842180775</v>
      </c>
    </row>
    <row r="28" spans="1:15" ht="20">
      <c r="A28" s="78" t="s">
        <v>896</v>
      </c>
      <c r="B28" s="78" t="s">
        <v>2888</v>
      </c>
      <c r="C28" s="78" t="s">
        <v>2889</v>
      </c>
      <c r="D28" s="78" t="s">
        <v>297</v>
      </c>
      <c r="E28" s="78">
        <v>9</v>
      </c>
      <c r="F28" s="78">
        <f>Table94[[#This Row],[SFY 2020]]/C163</f>
        <v>6.2077527934887569E-4</v>
      </c>
      <c r="H28" s="16" t="s">
        <v>929</v>
      </c>
      <c r="I28" s="17">
        <v>3920</v>
      </c>
      <c r="J28" s="80">
        <f>Table95[[#This Row],[BIDEN VOTES]]/C163</f>
        <v>0.27038212167195474</v>
      </c>
      <c r="K28" s="18">
        <v>0.42199999999999999</v>
      </c>
      <c r="L28" s="17">
        <v>5192</v>
      </c>
      <c r="M28" s="80">
        <f>Table95[[#This Row],[TRUMP VOTES]]/C163</f>
        <v>0.35811836115326251</v>
      </c>
      <c r="N28" s="18">
        <v>0.55900000000000005</v>
      </c>
      <c r="O28" s="80">
        <f>1-(Table95[[#This Row],[NbP]]+Table95[[#This Row],[NbP2]])</f>
        <v>0.3714995171747828</v>
      </c>
    </row>
    <row r="29" spans="1:15" ht="20">
      <c r="A29" s="78" t="s">
        <v>2905</v>
      </c>
      <c r="B29" s="78" t="s">
        <v>2888</v>
      </c>
      <c r="C29" s="78" t="s">
        <v>2889</v>
      </c>
      <c r="D29" s="78" t="s">
        <v>297</v>
      </c>
      <c r="E29" s="78">
        <v>0</v>
      </c>
      <c r="F29" s="78">
        <f>Table94[[#This Row],[SFY 2020]]/C164</f>
        <v>0</v>
      </c>
      <c r="H29" s="16" t="s">
        <v>3021</v>
      </c>
      <c r="I29" s="17">
        <v>2972</v>
      </c>
      <c r="J29" s="80">
        <f>Table95[[#This Row],[BIDEN VOTES]]/C164</f>
        <v>0.17196088642018167</v>
      </c>
      <c r="K29" s="18">
        <v>0.32600000000000001</v>
      </c>
      <c r="L29" s="17">
        <v>6007</v>
      </c>
      <c r="M29" s="80">
        <f>Table95[[#This Row],[TRUMP VOTES]]/C164</f>
        <v>0.34756697332639008</v>
      </c>
      <c r="N29" s="18">
        <v>0.65900000000000003</v>
      </c>
      <c r="O29" s="80">
        <f>1-(Table95[[#This Row],[NbP]]+Table95[[#This Row],[NbP2]])</f>
        <v>0.48047214025342821</v>
      </c>
    </row>
    <row r="30" spans="1:15" ht="20">
      <c r="A30" s="78" t="s">
        <v>901</v>
      </c>
      <c r="B30" s="78" t="s">
        <v>2888</v>
      </c>
      <c r="C30" s="78" t="s">
        <v>2889</v>
      </c>
      <c r="D30" s="78" t="s">
        <v>297</v>
      </c>
      <c r="E30" s="78">
        <v>5</v>
      </c>
      <c r="F30" s="78">
        <f>Table94[[#This Row],[SFY 2020]]/C165</f>
        <v>8.8448611356801694E-4</v>
      </c>
      <c r="H30" s="16" t="s">
        <v>3022</v>
      </c>
      <c r="I30" s="19">
        <v>964</v>
      </c>
      <c r="J30" s="80">
        <f>Table95[[#This Row],[BIDEN VOTES]]/C165</f>
        <v>0.17052892269591369</v>
      </c>
      <c r="K30" s="18">
        <v>0.372</v>
      </c>
      <c r="L30" s="17">
        <v>1580</v>
      </c>
      <c r="M30" s="80">
        <f>Table95[[#This Row],[TRUMP VOTES]]/C165</f>
        <v>0.27949761188749339</v>
      </c>
      <c r="N30" s="18">
        <v>0.60899999999999999</v>
      </c>
      <c r="O30" s="80">
        <f>1-(Table95[[#This Row],[NbP]]+Table95[[#This Row],[NbP2]])</f>
        <v>0.54997346541659287</v>
      </c>
    </row>
    <row r="31" spans="1:15" ht="20">
      <c r="A31" s="78" t="s">
        <v>2906</v>
      </c>
      <c r="B31" s="78" t="s">
        <v>2888</v>
      </c>
      <c r="C31" s="78" t="s">
        <v>2889</v>
      </c>
      <c r="D31" s="78" t="s">
        <v>297</v>
      </c>
      <c r="E31" s="78">
        <v>17</v>
      </c>
      <c r="F31" s="78">
        <f>Table94[[#This Row],[SFY 2020]]/C166</f>
        <v>3.331373701744072E-3</v>
      </c>
      <c r="H31" s="16" t="s">
        <v>2658</v>
      </c>
      <c r="I31" s="19">
        <v>587</v>
      </c>
      <c r="J31" s="80">
        <f>Table95[[#This Row],[BIDEN VOTES]]/C166</f>
        <v>0.11503037428963354</v>
      </c>
      <c r="K31" s="18">
        <v>0.186</v>
      </c>
      <c r="L31" s="17">
        <v>2536</v>
      </c>
      <c r="M31" s="80">
        <f>Table95[[#This Row],[TRUMP VOTES]]/C166</f>
        <v>0.4969625710366451</v>
      </c>
      <c r="N31" s="18">
        <v>0.80200000000000005</v>
      </c>
      <c r="O31" s="80">
        <f>1-(Table95[[#This Row],[NbP]]+Table95[[#This Row],[NbP2]])</f>
        <v>0.38800705467372132</v>
      </c>
    </row>
    <row r="32" spans="1:15" ht="20">
      <c r="A32" s="78" t="s">
        <v>2907</v>
      </c>
      <c r="B32" s="78" t="s">
        <v>2888</v>
      </c>
      <c r="C32" s="78" t="s">
        <v>2889</v>
      </c>
      <c r="D32" s="78" t="s">
        <v>297</v>
      </c>
      <c r="E32" s="78">
        <v>18</v>
      </c>
      <c r="F32" s="78">
        <f>Table94[[#This Row],[SFY 2020]]/C167</f>
        <v>3.4658708000385096E-4</v>
      </c>
      <c r="H32" s="16" t="s">
        <v>2984</v>
      </c>
      <c r="I32" s="17">
        <v>10617</v>
      </c>
      <c r="J32" s="80">
        <f>Table95[[#This Row],[BIDEN VOTES]]/C167</f>
        <v>0.20442861268893808</v>
      </c>
      <c r="K32" s="18">
        <v>0.39300000000000002</v>
      </c>
      <c r="L32" s="17">
        <v>16012</v>
      </c>
      <c r="M32" s="80">
        <f>Table95[[#This Row],[TRUMP VOTES]]/C167</f>
        <v>0.30830846250120342</v>
      </c>
      <c r="N32" s="18">
        <v>0.59199999999999997</v>
      </c>
      <c r="O32" s="80">
        <f>1-(Table95[[#This Row],[NbP]]+Table95[[#This Row],[NbP2]])</f>
        <v>0.48726292480985856</v>
      </c>
    </row>
    <row r="33" spans="1:15" ht="20">
      <c r="A33" s="78" t="s">
        <v>88</v>
      </c>
      <c r="B33" s="78" t="s">
        <v>2888</v>
      </c>
      <c r="C33" s="78" t="s">
        <v>2889</v>
      </c>
      <c r="D33" s="78" t="s">
        <v>297</v>
      </c>
      <c r="E33" s="78">
        <v>3</v>
      </c>
      <c r="F33" s="78">
        <f>Table94[[#This Row],[SFY 2020]]/C168</f>
        <v>3.039821663795724E-4</v>
      </c>
      <c r="H33" s="16" t="s">
        <v>187</v>
      </c>
      <c r="I33" s="17">
        <v>2227</v>
      </c>
      <c r="J33" s="80">
        <f>Table95[[#This Row],[BIDEN VOTES]]/C168</f>
        <v>0.2256560948424359</v>
      </c>
      <c r="K33" s="18">
        <v>0.42</v>
      </c>
      <c r="L33" s="17">
        <v>3019</v>
      </c>
      <c r="M33" s="80">
        <f>Table95[[#This Row],[TRUMP VOTES]]/C168</f>
        <v>0.30590738676664303</v>
      </c>
      <c r="N33" s="18">
        <v>0.56999999999999995</v>
      </c>
      <c r="O33" s="80">
        <f>1-(Table95[[#This Row],[NbP]]+Table95[[#This Row],[NbP2]])</f>
        <v>0.46843651839092104</v>
      </c>
    </row>
    <row r="34" spans="1:15" ht="20">
      <c r="A34" s="78" t="s">
        <v>2908</v>
      </c>
      <c r="B34" s="78" t="s">
        <v>2888</v>
      </c>
      <c r="C34" s="78" t="s">
        <v>2889</v>
      </c>
      <c r="D34" s="78" t="s">
        <v>297</v>
      </c>
      <c r="E34" s="78">
        <v>20</v>
      </c>
      <c r="F34" s="78">
        <f>Table94[[#This Row],[SFY 2020]]/C169</f>
        <v>4.9178715451952395E-4</v>
      </c>
      <c r="H34" s="16" t="s">
        <v>3023</v>
      </c>
      <c r="I34" s="17">
        <v>11710</v>
      </c>
      <c r="J34" s="80">
        <f>Table95[[#This Row],[BIDEN VOTES]]/C169</f>
        <v>0.28794137897118127</v>
      </c>
      <c r="K34" s="18">
        <v>0.60599999999999998</v>
      </c>
      <c r="L34" s="17">
        <v>7428</v>
      </c>
      <c r="M34" s="80">
        <f>Table95[[#This Row],[TRUMP VOTES]]/C169</f>
        <v>0.1826497491885512</v>
      </c>
      <c r="N34" s="18">
        <v>0.38400000000000001</v>
      </c>
      <c r="O34" s="80">
        <f>1-(Table95[[#This Row],[NbP]]+Table95[[#This Row],[NbP2]])</f>
        <v>0.52940887184026753</v>
      </c>
    </row>
    <row r="35" spans="1:15" ht="20">
      <c r="A35" s="78" t="s">
        <v>2909</v>
      </c>
      <c r="B35" s="78" t="s">
        <v>2888</v>
      </c>
      <c r="C35" s="78" t="s">
        <v>2889</v>
      </c>
      <c r="D35" s="78" t="s">
        <v>297</v>
      </c>
      <c r="E35" s="78">
        <v>42</v>
      </c>
      <c r="F35" s="78">
        <f>Table94[[#This Row],[SFY 2020]]/C170</f>
        <v>2.8917653538969982E-3</v>
      </c>
      <c r="H35" s="16" t="s">
        <v>2985</v>
      </c>
      <c r="I35" s="17">
        <v>1503</v>
      </c>
      <c r="J35" s="80">
        <f>Table95[[#This Row],[BIDEN VOTES]]/C170</f>
        <v>0.10348388873588543</v>
      </c>
      <c r="K35" s="18">
        <v>0.20599999999999999</v>
      </c>
      <c r="L35" s="17">
        <v>5748</v>
      </c>
      <c r="M35" s="80">
        <f>Table95[[#This Row],[TRUMP VOTES]]/C170</f>
        <v>0.39575874414761775</v>
      </c>
      <c r="N35" s="18">
        <v>0.78800000000000003</v>
      </c>
      <c r="O35" s="80">
        <f>1-(Table95[[#This Row],[NbP]]+Table95[[#This Row],[NbP2]])</f>
        <v>0.50075736711649688</v>
      </c>
    </row>
    <row r="36" spans="1:15" ht="20">
      <c r="A36" s="78" t="s">
        <v>2910</v>
      </c>
      <c r="B36" s="78" t="s">
        <v>2888</v>
      </c>
      <c r="C36" s="78" t="s">
        <v>2889</v>
      </c>
      <c r="D36" s="78" t="s">
        <v>297</v>
      </c>
      <c r="E36" s="78">
        <v>10</v>
      </c>
      <c r="F36" s="78">
        <f>Table94[[#This Row],[SFY 2020]]/C171</f>
        <v>3.4860210555671755E-4</v>
      </c>
      <c r="H36" s="16" t="s">
        <v>2986</v>
      </c>
      <c r="I36" s="17">
        <v>6224</v>
      </c>
      <c r="J36" s="80">
        <f>Table95[[#This Row],[BIDEN VOTES]]/C171</f>
        <v>0.21696995049850101</v>
      </c>
      <c r="K36" s="18">
        <v>0.41299999999999998</v>
      </c>
      <c r="L36" s="17">
        <v>8695</v>
      </c>
      <c r="M36" s="80">
        <f>Table95[[#This Row],[TRUMP VOTES]]/C171</f>
        <v>0.30310953078156594</v>
      </c>
      <c r="N36" s="18">
        <v>0.57699999999999996</v>
      </c>
      <c r="O36" s="80">
        <f>1-(Table95[[#This Row],[NbP]]+Table95[[#This Row],[NbP2]])</f>
        <v>0.47992051871993302</v>
      </c>
    </row>
    <row r="37" spans="1:15" ht="20">
      <c r="A37" s="78" t="s">
        <v>2911</v>
      </c>
      <c r="B37" s="78" t="s">
        <v>2888</v>
      </c>
      <c r="C37" s="78" t="s">
        <v>2889</v>
      </c>
      <c r="D37" s="78" t="s">
        <v>297</v>
      </c>
      <c r="E37" s="78">
        <v>0</v>
      </c>
      <c r="F37" s="78">
        <f>Table94[[#This Row],[SFY 2020]]/C172</f>
        <v>0</v>
      </c>
      <c r="H37" s="16" t="s">
        <v>3024</v>
      </c>
      <c r="I37" s="17">
        <v>1612</v>
      </c>
      <c r="J37" s="80">
        <f>Table95[[#This Row],[BIDEN VOTES]]/C172</f>
        <v>0.29807692307692307</v>
      </c>
      <c r="K37" s="18">
        <v>0.67800000000000005</v>
      </c>
      <c r="L37" s="19">
        <v>754</v>
      </c>
      <c r="M37" s="80">
        <f>Table95[[#This Row],[TRUMP VOTES]]/C172</f>
        <v>0.13942307692307693</v>
      </c>
      <c r="N37" s="18">
        <v>0.317</v>
      </c>
      <c r="O37" s="80">
        <f>1-(Table95[[#This Row],[NbP]]+Table95[[#This Row],[NbP2]])</f>
        <v>0.5625</v>
      </c>
    </row>
    <row r="38" spans="1:15" ht="20">
      <c r="A38" s="78" t="s">
        <v>808</v>
      </c>
      <c r="B38" s="78" t="s">
        <v>2888</v>
      </c>
      <c r="C38" s="78" t="s">
        <v>2889</v>
      </c>
      <c r="D38" s="78" t="s">
        <v>297</v>
      </c>
      <c r="E38" s="78">
        <v>20</v>
      </c>
      <c r="F38" s="78">
        <f>Table94[[#This Row],[SFY 2020]]/C173</f>
        <v>1.8248175182481751E-3</v>
      </c>
      <c r="H38" s="16" t="s">
        <v>790</v>
      </c>
      <c r="I38" s="17">
        <v>3038</v>
      </c>
      <c r="J38" s="80">
        <f>Table95[[#This Row],[BIDEN VOTES]]/C173</f>
        <v>0.27718978102189779</v>
      </c>
      <c r="K38" s="18">
        <v>0.49199999999999999</v>
      </c>
      <c r="L38" s="17">
        <v>3075</v>
      </c>
      <c r="M38" s="80">
        <f>Table95[[#This Row],[TRUMP VOTES]]/C173</f>
        <v>0.28056569343065696</v>
      </c>
      <c r="N38" s="18">
        <v>0.498</v>
      </c>
      <c r="O38" s="80">
        <f>1-(Table95[[#This Row],[NbP]]+Table95[[#This Row],[NbP2]])</f>
        <v>0.4422445255474452</v>
      </c>
    </row>
    <row r="39" spans="1:15" ht="20">
      <c r="A39" s="78" t="s">
        <v>2912</v>
      </c>
      <c r="B39" s="78" t="s">
        <v>2888</v>
      </c>
      <c r="C39" s="78" t="s">
        <v>2889</v>
      </c>
      <c r="D39" s="78" t="s">
        <v>297</v>
      </c>
      <c r="E39" s="78">
        <v>0</v>
      </c>
      <c r="F39" s="78">
        <f>Table94[[#This Row],[SFY 2020]]/C174</f>
        <v>0</v>
      </c>
      <c r="H39" s="16" t="s">
        <v>3025</v>
      </c>
      <c r="I39" s="17">
        <v>9174</v>
      </c>
      <c r="J39" s="80">
        <f>Table95[[#This Row],[BIDEN VOTES]]/C174</f>
        <v>0.39353122855181882</v>
      </c>
      <c r="K39" s="18">
        <v>0.68600000000000005</v>
      </c>
      <c r="L39" s="17">
        <v>4007</v>
      </c>
      <c r="M39" s="80">
        <f>Table95[[#This Row],[TRUMP VOTES]]/C174</f>
        <v>0.17188572409059713</v>
      </c>
      <c r="N39" s="18">
        <v>0.29899999999999999</v>
      </c>
      <c r="O39" s="80">
        <f>1-(Table95[[#This Row],[NbP]]+Table95[[#This Row],[NbP2]])</f>
        <v>0.43458304735758402</v>
      </c>
    </row>
    <row r="40" spans="1:15" ht="20">
      <c r="A40" s="78" t="s">
        <v>2913</v>
      </c>
      <c r="B40" s="78" t="s">
        <v>2888</v>
      </c>
      <c r="C40" s="78" t="s">
        <v>2889</v>
      </c>
      <c r="D40" s="78" t="s">
        <v>297</v>
      </c>
      <c r="E40" s="78">
        <v>271</v>
      </c>
      <c r="F40" s="78">
        <f>Table94[[#This Row],[SFY 2020]]/C175</f>
        <v>2.3576718729745555E-4</v>
      </c>
      <c r="H40" s="16" t="s">
        <v>2913</v>
      </c>
      <c r="I40" s="17">
        <v>419943</v>
      </c>
      <c r="J40" s="80">
        <f>Table95[[#This Row],[BIDEN VOTES]]/C175</f>
        <v>0.36534605142160653</v>
      </c>
      <c r="K40" s="18">
        <v>0.70399999999999996</v>
      </c>
      <c r="L40" s="17">
        <v>168401</v>
      </c>
      <c r="M40" s="80">
        <f>Table95[[#This Row],[TRUMP VOTES]]/C175</f>
        <v>0.14650712217003251</v>
      </c>
      <c r="N40" s="18">
        <v>0.28199999999999997</v>
      </c>
      <c r="O40" s="80">
        <f>1-(Table95[[#This Row],[NbP]]+Table95[[#This Row],[NbP2]])</f>
        <v>0.48814682640836093</v>
      </c>
    </row>
    <row r="41" spans="1:15" ht="20">
      <c r="A41" s="78" t="s">
        <v>2914</v>
      </c>
      <c r="B41" s="78" t="s">
        <v>2888</v>
      </c>
      <c r="C41" s="78" t="s">
        <v>2889</v>
      </c>
      <c r="D41" s="78" t="s">
        <v>297</v>
      </c>
      <c r="E41" s="78">
        <v>0</v>
      </c>
      <c r="F41" s="78">
        <f>Table94[[#This Row],[SFY 2020]]/C176</f>
        <v>0</v>
      </c>
      <c r="H41" s="16" t="s">
        <v>3026</v>
      </c>
      <c r="I41" s="17">
        <v>7146</v>
      </c>
      <c r="J41" s="80">
        <f>Table95[[#This Row],[BIDEN VOTES]]/C176</f>
        <v>0.49940596827171713</v>
      </c>
      <c r="K41" s="18">
        <v>0.81699999999999995</v>
      </c>
      <c r="L41" s="17">
        <v>1490</v>
      </c>
      <c r="M41" s="80">
        <f>Table95[[#This Row],[TRUMP VOTES]]/C176</f>
        <v>0.10413026766370816</v>
      </c>
      <c r="N41" s="18">
        <v>0.17</v>
      </c>
      <c r="O41" s="80">
        <f>1-(Table95[[#This Row],[NbP]]+Table95[[#This Row],[NbP2]])</f>
        <v>0.39646376406457473</v>
      </c>
    </row>
    <row r="42" spans="1:15" ht="20">
      <c r="A42" s="78" t="s">
        <v>2915</v>
      </c>
      <c r="B42" s="78" t="s">
        <v>2888</v>
      </c>
      <c r="C42" s="78" t="s">
        <v>2889</v>
      </c>
      <c r="D42" s="78" t="s">
        <v>297</v>
      </c>
      <c r="E42" s="78">
        <v>29</v>
      </c>
      <c r="F42" s="78">
        <f>Table94[[#This Row],[SFY 2020]]/C177</f>
        <v>4.1220701320483847E-4</v>
      </c>
      <c r="H42" s="16" t="s">
        <v>2987</v>
      </c>
      <c r="I42" s="17">
        <v>17565</v>
      </c>
      <c r="J42" s="80">
        <f>Table95[[#This Row],[BIDEN VOTES]]/C177</f>
        <v>0.24966952368768922</v>
      </c>
      <c r="K42" s="18">
        <v>0.40400000000000003</v>
      </c>
      <c r="L42" s="17">
        <v>25106</v>
      </c>
      <c r="M42" s="80">
        <f>Table95[[#This Row],[TRUMP VOTES]]/C177</f>
        <v>0.35685756115588529</v>
      </c>
      <c r="N42" s="18">
        <v>0.57799999999999996</v>
      </c>
      <c r="O42" s="80">
        <f>1-(Table95[[#This Row],[NbP]]+Table95[[#This Row],[NbP2]])</f>
        <v>0.39347291515642546</v>
      </c>
    </row>
    <row r="43" spans="1:15" ht="20">
      <c r="A43" s="78" t="s">
        <v>630</v>
      </c>
      <c r="B43" s="78" t="s">
        <v>2888</v>
      </c>
      <c r="C43" s="78" t="s">
        <v>2889</v>
      </c>
      <c r="D43" s="78" t="s">
        <v>297</v>
      </c>
      <c r="E43" s="78">
        <v>11</v>
      </c>
      <c r="F43" s="78">
        <f>Table94[[#This Row],[SFY 2020]]/C178</f>
        <v>6.9770391982747681E-4</v>
      </c>
      <c r="H43" s="16" t="s">
        <v>403</v>
      </c>
      <c r="I43" s="17">
        <v>3004</v>
      </c>
      <c r="J43" s="80">
        <f>Table95[[#This Row],[BIDEN VOTES]]/C178</f>
        <v>0.1905365977419764</v>
      </c>
      <c r="K43" s="18">
        <v>0.32</v>
      </c>
      <c r="L43" s="17">
        <v>6225</v>
      </c>
      <c r="M43" s="80">
        <f>Table95[[#This Row],[TRUMP VOTES]]/C178</f>
        <v>0.39483699099327668</v>
      </c>
      <c r="N43" s="18">
        <v>0.66400000000000003</v>
      </c>
      <c r="O43" s="80">
        <f>1-(Table95[[#This Row],[NbP]]+Table95[[#This Row],[NbP2]])</f>
        <v>0.41462641126474686</v>
      </c>
    </row>
    <row r="44" spans="1:15" ht="20">
      <c r="A44" s="78" t="s">
        <v>2916</v>
      </c>
      <c r="B44" s="78" t="s">
        <v>2888</v>
      </c>
      <c r="C44" s="78" t="s">
        <v>2889</v>
      </c>
      <c r="D44" s="78" t="s">
        <v>297</v>
      </c>
      <c r="E44" s="78">
        <v>15</v>
      </c>
      <c r="F44" s="78">
        <f>Table94[[#This Row],[SFY 2020]]/C179</f>
        <v>5.581810739403863E-4</v>
      </c>
      <c r="H44" s="16" t="s">
        <v>2988</v>
      </c>
      <c r="I44" s="17">
        <v>7414</v>
      </c>
      <c r="J44" s="80">
        <f>Table95[[#This Row],[BIDEN VOTES]]/C179</f>
        <v>0.27589029881293492</v>
      </c>
      <c r="K44" s="18">
        <v>0.46899999999999997</v>
      </c>
      <c r="L44" s="17">
        <v>8155</v>
      </c>
      <c r="M44" s="80">
        <f>Table95[[#This Row],[TRUMP VOTES]]/C179</f>
        <v>0.30346444386559002</v>
      </c>
      <c r="N44" s="18">
        <v>0.51600000000000001</v>
      </c>
      <c r="O44" s="80">
        <f>1-(Table95[[#This Row],[NbP]]+Table95[[#This Row],[NbP2]])</f>
        <v>0.42064525732147506</v>
      </c>
    </row>
    <row r="45" spans="1:15" ht="20">
      <c r="A45" s="78" t="s">
        <v>2917</v>
      </c>
      <c r="B45" s="78" t="s">
        <v>2888</v>
      </c>
      <c r="C45" s="78" t="s">
        <v>2889</v>
      </c>
      <c r="D45" s="78" t="s">
        <v>297</v>
      </c>
      <c r="E45" s="78">
        <v>14</v>
      </c>
      <c r="F45" s="78">
        <f>Table94[[#This Row],[SFY 2020]]/C180</f>
        <v>1.7467248908296944E-3</v>
      </c>
      <c r="H45" s="16" t="s">
        <v>3027</v>
      </c>
      <c r="I45" s="17">
        <v>2525</v>
      </c>
      <c r="J45" s="80">
        <f>Table95[[#This Row],[BIDEN VOTES]]/C180</f>
        <v>0.31503431066749843</v>
      </c>
      <c r="K45" s="18">
        <v>0.624</v>
      </c>
      <c r="L45" s="17">
        <v>1487</v>
      </c>
      <c r="M45" s="80">
        <f>Table95[[#This Row],[TRUMP VOTES]]/C180</f>
        <v>0.18552713661883968</v>
      </c>
      <c r="N45" s="18">
        <v>0.36699999999999999</v>
      </c>
      <c r="O45" s="80">
        <f>1-(Table95[[#This Row],[NbP]]+Table95[[#This Row],[NbP2]])</f>
        <v>0.49943855271366189</v>
      </c>
    </row>
    <row r="46" spans="1:15" ht="20">
      <c r="A46" s="78" t="s">
        <v>195</v>
      </c>
      <c r="B46" s="78" t="s">
        <v>2888</v>
      </c>
      <c r="C46" s="78" t="s">
        <v>2889</v>
      </c>
      <c r="D46" s="78" t="s">
        <v>297</v>
      </c>
      <c r="E46" s="78">
        <v>75</v>
      </c>
      <c r="F46" s="78">
        <f>Table94[[#This Row],[SFY 2020]]/C181</f>
        <v>1.3337838558802083E-3</v>
      </c>
      <c r="H46" s="16" t="s">
        <v>195</v>
      </c>
      <c r="I46" s="17">
        <v>8381</v>
      </c>
      <c r="J46" s="80">
        <f>Table95[[#This Row],[BIDEN VOTES]]/C181</f>
        <v>0.14904589994842701</v>
      </c>
      <c r="K46" s="18">
        <v>0.28299999999999997</v>
      </c>
      <c r="L46" s="17">
        <v>20895</v>
      </c>
      <c r="M46" s="80">
        <f>Table95[[#This Row],[TRUMP VOTES]]/C181</f>
        <v>0.37159218224822604</v>
      </c>
      <c r="N46" s="18">
        <v>0.70499999999999996</v>
      </c>
      <c r="O46" s="80">
        <f>1-(Table95[[#This Row],[NbP]]+Table95[[#This Row],[NbP2]])</f>
        <v>0.47936191780334692</v>
      </c>
    </row>
    <row r="47" spans="1:15" ht="20">
      <c r="A47" s="78" t="s">
        <v>1723</v>
      </c>
      <c r="B47" s="78" t="s">
        <v>2888</v>
      </c>
      <c r="C47" s="78" t="s">
        <v>2889</v>
      </c>
      <c r="D47" s="78" t="s">
        <v>297</v>
      </c>
      <c r="E47" s="78">
        <v>46</v>
      </c>
      <c r="F47" s="78">
        <f>Table94[[#This Row],[SFY 2020]]/C182</f>
        <v>5.2240670497649168E-4</v>
      </c>
      <c r="H47" s="16" t="s">
        <v>1733</v>
      </c>
      <c r="I47" s="17">
        <v>17207</v>
      </c>
      <c r="J47" s="80">
        <f>Table95[[#This Row],[BIDEN VOTES]]/C182</f>
        <v>0.19541417766370636</v>
      </c>
      <c r="K47" s="18">
        <v>0.35399999999999998</v>
      </c>
      <c r="L47" s="17">
        <v>30558</v>
      </c>
      <c r="M47" s="80">
        <f>Table95[[#This Row],[TRUMP VOTES]]/C182</f>
        <v>0.34703704544938335</v>
      </c>
      <c r="N47" s="18">
        <v>0.629</v>
      </c>
      <c r="O47" s="80">
        <f>1-(Table95[[#This Row],[NbP]]+Table95[[#This Row],[NbP2]])</f>
        <v>0.45754877688691031</v>
      </c>
    </row>
    <row r="48" spans="1:15" ht="20">
      <c r="A48" s="78" t="s">
        <v>2918</v>
      </c>
      <c r="B48" s="78" t="s">
        <v>2888</v>
      </c>
      <c r="C48" s="78" t="s">
        <v>2889</v>
      </c>
      <c r="D48" s="78" t="s">
        <v>297</v>
      </c>
      <c r="E48" s="78">
        <v>29</v>
      </c>
      <c r="F48" s="78">
        <f>Table94[[#This Row],[SFY 2020]]/C183</f>
        <v>9.979696479576034E-4</v>
      </c>
      <c r="H48" s="16" t="s">
        <v>3028</v>
      </c>
      <c r="I48" s="17">
        <v>8517</v>
      </c>
      <c r="J48" s="80">
        <f>Table95[[#This Row],[BIDEN VOTES]]/C183</f>
        <v>0.29309336178120377</v>
      </c>
      <c r="K48" s="18">
        <v>0.66600000000000004</v>
      </c>
      <c r="L48" s="17">
        <v>4037</v>
      </c>
      <c r="M48" s="80">
        <f>Table95[[#This Row],[TRUMP VOTES]]/C183</f>
        <v>0.13892425754499466</v>
      </c>
      <c r="N48" s="18">
        <v>0.316</v>
      </c>
      <c r="O48" s="80">
        <f>1-(Table95[[#This Row],[NbP]]+Table95[[#This Row],[NbP2]])</f>
        <v>0.56798238067380158</v>
      </c>
    </row>
    <row r="49" spans="1:15" ht="20">
      <c r="A49" s="78" t="s">
        <v>2919</v>
      </c>
      <c r="B49" s="78" t="s">
        <v>2888</v>
      </c>
      <c r="C49" s="78" t="s">
        <v>2889</v>
      </c>
      <c r="D49" s="78" t="s">
        <v>297</v>
      </c>
      <c r="E49" s="78">
        <v>25</v>
      </c>
      <c r="F49" s="78">
        <f>Table94[[#This Row],[SFY 2020]]/C184</f>
        <v>3.9050296782255547E-3</v>
      </c>
      <c r="H49" s="16" t="s">
        <v>3029</v>
      </c>
      <c r="I49" s="19">
        <v>777</v>
      </c>
      <c r="J49" s="80">
        <f>Table95[[#This Row],[BIDEN VOTES]]/C184</f>
        <v>0.12136832239925023</v>
      </c>
      <c r="K49" s="18">
        <v>0.29499999999999998</v>
      </c>
      <c r="L49" s="17">
        <v>1838</v>
      </c>
      <c r="M49" s="80">
        <f>Table95[[#This Row],[TRUMP VOTES]]/C184</f>
        <v>0.28709778194314278</v>
      </c>
      <c r="N49" s="18">
        <v>0.69799999999999995</v>
      </c>
      <c r="O49" s="80">
        <f>1-(Table95[[#This Row],[NbP]]+Table95[[#This Row],[NbP2]])</f>
        <v>0.59153389565760706</v>
      </c>
    </row>
    <row r="50" spans="1:15" ht="20">
      <c r="A50" s="78" t="s">
        <v>98</v>
      </c>
      <c r="B50" s="78" t="s">
        <v>2888</v>
      </c>
      <c r="C50" s="78" t="s">
        <v>2889</v>
      </c>
      <c r="D50" s="78" t="s">
        <v>297</v>
      </c>
      <c r="E50" s="78">
        <v>46</v>
      </c>
      <c r="F50" s="78">
        <f>Table94[[#This Row],[SFY 2020]]/C185</f>
        <v>2.7446300715990453E-3</v>
      </c>
      <c r="H50" s="16" t="s">
        <v>197</v>
      </c>
      <c r="I50" s="17">
        <v>2156</v>
      </c>
      <c r="J50" s="80">
        <f>Table95[[#This Row],[BIDEN VOTES]]/C185</f>
        <v>0.12863961813842481</v>
      </c>
      <c r="K50" s="18">
        <v>0.23499999999999999</v>
      </c>
      <c r="L50" s="17">
        <v>6876</v>
      </c>
      <c r="M50" s="80">
        <f>Table95[[#This Row],[TRUMP VOTES]]/C185</f>
        <v>0.41026252983293554</v>
      </c>
      <c r="N50" s="18">
        <v>0.751</v>
      </c>
      <c r="O50" s="80">
        <f>1-(Table95[[#This Row],[NbP]]+Table95[[#This Row],[NbP2]])</f>
        <v>0.46109785202863962</v>
      </c>
    </row>
    <row r="51" spans="1:15" ht="20">
      <c r="A51" s="78" t="s">
        <v>809</v>
      </c>
      <c r="B51" s="78" t="s">
        <v>2888</v>
      </c>
      <c r="C51" s="78" t="s">
        <v>2889</v>
      </c>
      <c r="D51" s="78" t="s">
        <v>297</v>
      </c>
      <c r="E51" s="78">
        <v>19</v>
      </c>
      <c r="F51" s="78">
        <f>Table94[[#This Row],[SFY 2020]]/C186</f>
        <v>5.0853808682618708E-4</v>
      </c>
      <c r="H51" s="16" t="s">
        <v>791</v>
      </c>
      <c r="I51" s="17">
        <v>6964</v>
      </c>
      <c r="J51" s="80">
        <f>Table95[[#This Row],[BIDEN VOTES]]/C186</f>
        <v>0.18639259140302983</v>
      </c>
      <c r="K51" s="18">
        <v>0.313</v>
      </c>
      <c r="L51" s="17">
        <v>14875</v>
      </c>
      <c r="M51" s="80">
        <f>Table95[[#This Row],[TRUMP VOTES]]/C186</f>
        <v>0.39813179165997536</v>
      </c>
      <c r="N51" s="18">
        <v>0.66900000000000004</v>
      </c>
      <c r="O51" s="80">
        <f>1-(Table95[[#This Row],[NbP]]+Table95[[#This Row],[NbP2]])</f>
        <v>0.41547561693699486</v>
      </c>
    </row>
    <row r="52" spans="1:15" ht="20">
      <c r="A52" s="78" t="s">
        <v>2920</v>
      </c>
      <c r="B52" s="78" t="s">
        <v>2888</v>
      </c>
      <c r="C52" s="78" t="s">
        <v>2889</v>
      </c>
      <c r="D52" s="78" t="s">
        <v>297</v>
      </c>
      <c r="E52" s="78">
        <v>6</v>
      </c>
      <c r="F52" s="78">
        <f>Table94[[#This Row],[SFY 2020]]/C187</f>
        <v>2.5562372188139062E-4</v>
      </c>
      <c r="H52" s="16" t="s">
        <v>2989</v>
      </c>
      <c r="I52" s="17">
        <v>6685</v>
      </c>
      <c r="J52" s="80">
        <f>Table95[[#This Row],[BIDEN VOTES]]/C187</f>
        <v>0.28480743012951604</v>
      </c>
      <c r="K52" s="18">
        <v>0.39600000000000002</v>
      </c>
      <c r="L52" s="17">
        <v>9966</v>
      </c>
      <c r="M52" s="80">
        <f>Table95[[#This Row],[TRUMP VOTES]]/C187</f>
        <v>0.42459100204498978</v>
      </c>
      <c r="N52" s="18">
        <v>0.59</v>
      </c>
      <c r="O52" s="80">
        <f>1-(Table95[[#This Row],[NbP]]+Table95[[#This Row],[NbP2]])</f>
        <v>0.29060156782549418</v>
      </c>
    </row>
    <row r="53" spans="1:15" ht="20">
      <c r="A53" s="78" t="s">
        <v>643</v>
      </c>
      <c r="B53" s="78" t="s">
        <v>2888</v>
      </c>
      <c r="C53" s="78" t="s">
        <v>2889</v>
      </c>
      <c r="D53" s="78" t="s">
        <v>297</v>
      </c>
      <c r="E53" s="78">
        <v>35</v>
      </c>
      <c r="F53" s="78">
        <f>Table94[[#This Row],[SFY 2020]]/C188</f>
        <v>2.236278832023513E-3</v>
      </c>
      <c r="H53" s="16" t="s">
        <v>416</v>
      </c>
      <c r="I53" s="17">
        <v>1535</v>
      </c>
      <c r="J53" s="80">
        <f>Table95[[#This Row],[BIDEN VOTES]]/C188</f>
        <v>9.8076800204459774E-2</v>
      </c>
      <c r="K53" s="18">
        <v>0.189</v>
      </c>
      <c r="L53" s="17">
        <v>6529</v>
      </c>
      <c r="M53" s="80">
        <f>Table95[[#This Row],[TRUMP VOTES]]/C188</f>
        <v>0.41716184269375761</v>
      </c>
      <c r="N53" s="18">
        <v>0.80400000000000005</v>
      </c>
      <c r="O53" s="80">
        <f>1-(Table95[[#This Row],[NbP]]+Table95[[#This Row],[NbP2]])</f>
        <v>0.48476135710178259</v>
      </c>
    </row>
    <row r="54" spans="1:15" ht="20">
      <c r="A54" s="78" t="s">
        <v>100</v>
      </c>
      <c r="B54" s="78" t="s">
        <v>2888</v>
      </c>
      <c r="C54" s="78" t="s">
        <v>2889</v>
      </c>
      <c r="D54" s="78" t="s">
        <v>297</v>
      </c>
      <c r="E54" s="78">
        <v>9</v>
      </c>
      <c r="F54" s="78">
        <f>Table94[[#This Row],[SFY 2020]]/C189</f>
        <v>4.5606567345697781E-4</v>
      </c>
      <c r="H54" s="16" t="s">
        <v>199</v>
      </c>
      <c r="I54" s="17">
        <v>4163</v>
      </c>
      <c r="J54" s="80">
        <f>Table95[[#This Row],[BIDEN VOTES]]/C189</f>
        <v>0.21095571095571095</v>
      </c>
      <c r="K54" s="18">
        <v>0.36899999999999999</v>
      </c>
      <c r="L54" s="17">
        <v>6866</v>
      </c>
      <c r="M54" s="80">
        <f>Table95[[#This Row],[TRUMP VOTES]]/C189</f>
        <v>0.34792743488395661</v>
      </c>
      <c r="N54" s="18">
        <v>0.60899999999999999</v>
      </c>
      <c r="O54" s="80">
        <f>1-(Table95[[#This Row],[NbP]]+Table95[[#This Row],[NbP2]])</f>
        <v>0.44111685416033242</v>
      </c>
    </row>
    <row r="55" spans="1:15" ht="20">
      <c r="A55" s="78" t="s">
        <v>2921</v>
      </c>
      <c r="B55" s="78" t="s">
        <v>2888</v>
      </c>
      <c r="C55" s="78" t="s">
        <v>2889</v>
      </c>
      <c r="D55" s="78" t="s">
        <v>297</v>
      </c>
      <c r="E55" s="78">
        <v>22</v>
      </c>
      <c r="F55" s="78">
        <f>Table94[[#This Row],[SFY 2020]]/C190</f>
        <v>1.9293168464439184E-3</v>
      </c>
      <c r="H55" s="16" t="s">
        <v>2990</v>
      </c>
      <c r="I55" s="17">
        <v>2627</v>
      </c>
      <c r="J55" s="80">
        <f>Table95[[#This Row],[BIDEN VOTES]]/C190</f>
        <v>0.23037797070946242</v>
      </c>
      <c r="K55" s="18">
        <v>0.57599999999999996</v>
      </c>
      <c r="L55" s="17">
        <v>1914</v>
      </c>
      <c r="M55" s="80">
        <f>Table95[[#This Row],[TRUMP VOTES]]/C190</f>
        <v>0.1678505656406209</v>
      </c>
      <c r="N55" s="18">
        <v>0.41899999999999998</v>
      </c>
      <c r="O55" s="80">
        <f>1-(Table95[[#This Row],[NbP]]+Table95[[#This Row],[NbP2]])</f>
        <v>0.60177146364991674</v>
      </c>
    </row>
    <row r="56" spans="1:15" ht="20">
      <c r="A56" s="78" t="s">
        <v>2420</v>
      </c>
      <c r="B56" s="78" t="s">
        <v>2888</v>
      </c>
      <c r="C56" s="78" t="s">
        <v>2889</v>
      </c>
      <c r="D56" s="78" t="s">
        <v>297</v>
      </c>
      <c r="E56" s="78">
        <v>1</v>
      </c>
      <c r="F56" s="78">
        <f>Table94[[#This Row],[SFY 2020]]/C191</f>
        <v>2.9158769499927104E-5</v>
      </c>
      <c r="H56" s="16" t="s">
        <v>2481</v>
      </c>
      <c r="I56" s="17">
        <v>7666</v>
      </c>
      <c r="J56" s="80">
        <f>Table95[[#This Row],[BIDEN VOTES]]/C191</f>
        <v>0.22353112698644118</v>
      </c>
      <c r="K56" s="18">
        <v>0.42099999999999999</v>
      </c>
      <c r="L56" s="17">
        <v>10418</v>
      </c>
      <c r="M56" s="80">
        <f>Table95[[#This Row],[TRUMP VOTES]]/C191</f>
        <v>0.30377606065024054</v>
      </c>
      <c r="N56" s="18">
        <v>0.57199999999999995</v>
      </c>
      <c r="O56" s="80">
        <f>1-(Table95[[#This Row],[NbP]]+Table95[[#This Row],[NbP2]])</f>
        <v>0.47269281236331828</v>
      </c>
    </row>
    <row r="57" spans="1:15" ht="20">
      <c r="A57" s="78" t="s">
        <v>2811</v>
      </c>
      <c r="B57" s="78" t="s">
        <v>2888</v>
      </c>
      <c r="C57" s="78" t="s">
        <v>2889</v>
      </c>
      <c r="D57" s="78" t="s">
        <v>297</v>
      </c>
      <c r="E57" s="78">
        <v>80</v>
      </c>
      <c r="F57" s="78">
        <f>Table94[[#This Row],[SFY 2020]]/C192</f>
        <v>5.9185168196849872E-4</v>
      </c>
      <c r="H57" s="16" t="s">
        <v>3030</v>
      </c>
      <c r="I57" s="17">
        <v>46220</v>
      </c>
      <c r="J57" s="80">
        <f>Table95[[#This Row],[BIDEN VOTES]]/C192</f>
        <v>0.34194230925730013</v>
      </c>
      <c r="K57" s="18">
        <v>0.70399999999999996</v>
      </c>
      <c r="L57" s="17">
        <v>18430</v>
      </c>
      <c r="M57" s="80">
        <f>Table95[[#This Row],[TRUMP VOTES]]/C192</f>
        <v>0.13634783123349289</v>
      </c>
      <c r="N57" s="18">
        <v>0.28100000000000003</v>
      </c>
      <c r="O57" s="80">
        <f>1-(Table95[[#This Row],[NbP]]+Table95[[#This Row],[NbP2]])</f>
        <v>0.52170985950920701</v>
      </c>
    </row>
    <row r="58" spans="1:15" ht="20">
      <c r="A58" s="78" t="s">
        <v>2922</v>
      </c>
      <c r="B58" s="78" t="s">
        <v>2888</v>
      </c>
      <c r="C58" s="78" t="s">
        <v>2889</v>
      </c>
      <c r="D58" s="78" t="s">
        <v>297</v>
      </c>
      <c r="E58" s="78">
        <v>32</v>
      </c>
      <c r="F58" s="78">
        <f>Table94[[#This Row],[SFY 2020]]/C193</f>
        <v>3.0036231203889693E-4</v>
      </c>
      <c r="H58" s="16" t="s">
        <v>2991</v>
      </c>
      <c r="I58" s="17">
        <v>25307</v>
      </c>
      <c r="J58" s="80">
        <f>Table95[[#This Row],[BIDEN VOTES]]/C193</f>
        <v>0.23753965721151138</v>
      </c>
      <c r="K58" s="18">
        <v>0.35799999999999998</v>
      </c>
      <c r="L58" s="17">
        <v>44318</v>
      </c>
      <c r="M58" s="80">
        <f>Table95[[#This Row],[TRUMP VOTES]]/C193</f>
        <v>0.41598302952936983</v>
      </c>
      <c r="N58" s="18">
        <v>0.627</v>
      </c>
      <c r="O58" s="80">
        <f>1-(Table95[[#This Row],[NbP]]+Table95[[#This Row],[NbP2]])</f>
        <v>0.34647731325911879</v>
      </c>
    </row>
    <row r="59" spans="1:15" ht="20">
      <c r="A59" s="78" t="s">
        <v>2923</v>
      </c>
      <c r="B59" s="78" t="s">
        <v>2888</v>
      </c>
      <c r="C59" s="78" t="s">
        <v>2889</v>
      </c>
      <c r="D59" s="78" t="s">
        <v>297</v>
      </c>
      <c r="E59" s="78">
        <v>66</v>
      </c>
      <c r="F59" s="78">
        <f>Table94[[#This Row],[SFY 2020]]/C194</f>
        <v>1.2323088987639568E-3</v>
      </c>
      <c r="H59" s="16" t="s">
        <v>3031</v>
      </c>
      <c r="I59" s="17">
        <v>11022</v>
      </c>
      <c r="J59" s="80">
        <f>Table95[[#This Row],[BIDEN VOTES]]/C194</f>
        <v>0.20579558609358078</v>
      </c>
      <c r="K59" s="18">
        <v>0.64900000000000002</v>
      </c>
      <c r="L59" s="17">
        <v>5591</v>
      </c>
      <c r="M59" s="80">
        <f>Table95[[#This Row],[TRUMP VOTES]]/C194</f>
        <v>0.10439150080286792</v>
      </c>
      <c r="N59" s="18">
        <v>0.32900000000000001</v>
      </c>
      <c r="O59" s="80">
        <f>1-(Table95[[#This Row],[NbP]]+Table95[[#This Row],[NbP2]])</f>
        <v>0.68981291310355131</v>
      </c>
    </row>
    <row r="60" spans="1:15" ht="20">
      <c r="A60" s="78" t="s">
        <v>2924</v>
      </c>
      <c r="B60" s="78" t="s">
        <v>2888</v>
      </c>
      <c r="C60" s="78" t="s">
        <v>2889</v>
      </c>
      <c r="D60" s="78" t="s">
        <v>297</v>
      </c>
      <c r="E60" s="78">
        <v>148</v>
      </c>
      <c r="F60" s="78">
        <f>Table94[[#This Row],[SFY 2020]]/C195</f>
        <v>4.4838158484712611E-4</v>
      </c>
      <c r="H60" s="16" t="s">
        <v>2992</v>
      </c>
      <c r="I60" s="17">
        <v>116572</v>
      </c>
      <c r="J60" s="80">
        <f>Table95[[#This Row],[BIDEN VOTES]]/C195</f>
        <v>0.3531671493837783</v>
      </c>
      <c r="K60" s="18">
        <v>0.63900000000000001</v>
      </c>
      <c r="L60" s="17">
        <v>63440</v>
      </c>
      <c r="M60" s="80">
        <f>Table95[[#This Row],[TRUMP VOTES]]/C195</f>
        <v>0.19219816042366</v>
      </c>
      <c r="N60" s="18">
        <v>0.34799999999999998</v>
      </c>
      <c r="O60" s="80">
        <f>1-(Table95[[#This Row],[NbP]]+Table95[[#This Row],[NbP2]])</f>
        <v>0.45463469019256175</v>
      </c>
    </row>
    <row r="61" spans="1:15" ht="20">
      <c r="A61" s="78" t="s">
        <v>110</v>
      </c>
      <c r="B61" s="78" t="s">
        <v>2888</v>
      </c>
      <c r="C61" s="78" t="s">
        <v>2889</v>
      </c>
      <c r="D61" s="78" t="s">
        <v>297</v>
      </c>
      <c r="E61" s="78">
        <v>98</v>
      </c>
      <c r="F61" s="78">
        <f>Table94[[#This Row],[SFY 2020]]/C196</f>
        <v>1.9203636933688667E-3</v>
      </c>
      <c r="H61" s="16" t="s">
        <v>209</v>
      </c>
      <c r="I61" s="17">
        <v>9127</v>
      </c>
      <c r="J61" s="80">
        <f>Table95[[#This Row],[BIDEN VOTES]]/C196</f>
        <v>0.17884856560589435</v>
      </c>
      <c r="K61" s="18">
        <v>0.35</v>
      </c>
      <c r="L61" s="17">
        <v>16725</v>
      </c>
      <c r="M61" s="80">
        <f>Table95[[#This Row],[TRUMP VOTES]]/C196</f>
        <v>0.32773553848565606</v>
      </c>
      <c r="N61" s="18">
        <v>0.64100000000000001</v>
      </c>
      <c r="O61" s="80">
        <f>1-(Table95[[#This Row],[NbP]]+Table95[[#This Row],[NbP2]])</f>
        <v>0.49341589590844959</v>
      </c>
    </row>
    <row r="62" spans="1:15" ht="20">
      <c r="A62" s="78" t="s">
        <v>2599</v>
      </c>
      <c r="B62" s="78" t="s">
        <v>2888</v>
      </c>
      <c r="C62" s="78" t="s">
        <v>2889</v>
      </c>
      <c r="D62" s="78" t="s">
        <v>297</v>
      </c>
      <c r="E62" s="78">
        <v>4</v>
      </c>
      <c r="F62" s="78">
        <f>Table94[[#This Row],[SFY 2020]]/C197</f>
        <v>1.8165304268846503E-3</v>
      </c>
      <c r="H62" s="16" t="s">
        <v>2632</v>
      </c>
      <c r="I62" s="19">
        <v>417</v>
      </c>
      <c r="J62" s="80">
        <f>Table95[[#This Row],[BIDEN VOTES]]/C197</f>
        <v>0.18937329700272479</v>
      </c>
      <c r="K62" s="18">
        <v>0.27200000000000002</v>
      </c>
      <c r="L62" s="17">
        <v>1092</v>
      </c>
      <c r="M62" s="80">
        <f>Table95[[#This Row],[TRUMP VOTES]]/C197</f>
        <v>0.49591280653950953</v>
      </c>
      <c r="N62" s="18">
        <v>0.71299999999999997</v>
      </c>
      <c r="O62" s="80">
        <f>1-(Table95[[#This Row],[NbP]]+Table95[[#This Row],[NbP2]])</f>
        <v>0.31471389645776571</v>
      </c>
    </row>
    <row r="63" spans="1:15" ht="20">
      <c r="A63" s="78" t="s">
        <v>2925</v>
      </c>
      <c r="B63" s="78" t="s">
        <v>2888</v>
      </c>
      <c r="C63" s="78" t="s">
        <v>2889</v>
      </c>
      <c r="D63" s="78" t="s">
        <v>297</v>
      </c>
      <c r="E63" s="78">
        <v>35</v>
      </c>
      <c r="F63" s="78">
        <f>Table94[[#This Row],[SFY 2020]]/C198</f>
        <v>1.5555555555555555E-3</v>
      </c>
      <c r="H63" s="16" t="s">
        <v>3032</v>
      </c>
      <c r="I63" s="17">
        <v>5430</v>
      </c>
      <c r="J63" s="80">
        <f>Table95[[#This Row],[BIDEN VOTES]]/C198</f>
        <v>0.24133333333333334</v>
      </c>
      <c r="K63" s="18">
        <v>0.56699999999999995</v>
      </c>
      <c r="L63" s="17">
        <v>4020</v>
      </c>
      <c r="M63" s="80">
        <f>Table95[[#This Row],[TRUMP VOTES]]/C198</f>
        <v>0.17866666666666667</v>
      </c>
      <c r="N63" s="18">
        <v>0.42</v>
      </c>
      <c r="O63" s="80">
        <f>1-(Table95[[#This Row],[NbP]]+Table95[[#This Row],[NbP2]])</f>
        <v>0.57999999999999996</v>
      </c>
    </row>
    <row r="64" spans="1:15" ht="20">
      <c r="A64" s="78" t="s">
        <v>2926</v>
      </c>
      <c r="B64" s="78" t="s">
        <v>2888</v>
      </c>
      <c r="C64" s="78" t="s">
        <v>2889</v>
      </c>
      <c r="D64" s="78" t="s">
        <v>297</v>
      </c>
      <c r="E64" s="78">
        <v>4</v>
      </c>
      <c r="F64" s="78">
        <f>Table94[[#This Row],[SFY 2020]]/C199</f>
        <v>1.0779637265206026E-4</v>
      </c>
      <c r="H64" s="16" t="s">
        <v>2993</v>
      </c>
      <c r="I64" s="17">
        <v>9399</v>
      </c>
      <c r="J64" s="80">
        <f>Table95[[#This Row],[BIDEN VOTES]]/C199</f>
        <v>0.25329452663917862</v>
      </c>
      <c r="K64" s="18">
        <v>0.40100000000000002</v>
      </c>
      <c r="L64" s="17">
        <v>13707</v>
      </c>
      <c r="M64" s="80">
        <f>Table95[[#This Row],[TRUMP VOTES]]/C199</f>
        <v>0.36939121998544749</v>
      </c>
      <c r="N64" s="18">
        <v>0.58499999999999996</v>
      </c>
      <c r="O64" s="80">
        <f>1-(Table95[[#This Row],[NbP]]+Table95[[#This Row],[NbP2]])</f>
        <v>0.37731425337537394</v>
      </c>
    </row>
    <row r="65" spans="1:15" ht="20">
      <c r="A65" s="78" t="s">
        <v>2927</v>
      </c>
      <c r="B65" s="78" t="s">
        <v>2888</v>
      </c>
      <c r="C65" s="78" t="s">
        <v>2889</v>
      </c>
      <c r="D65" s="78" t="s">
        <v>297</v>
      </c>
      <c r="E65" s="78">
        <v>44</v>
      </c>
      <c r="F65" s="78">
        <f>Table94[[#This Row],[SFY 2020]]/C200</f>
        <v>5.7870370370370367E-4</v>
      </c>
      <c r="H65" s="16" t="s">
        <v>2994</v>
      </c>
      <c r="I65" s="17">
        <v>25553</v>
      </c>
      <c r="J65" s="80">
        <f>Table95[[#This Row],[BIDEN VOTES]]/C200</f>
        <v>0.33608217592592593</v>
      </c>
      <c r="K65" s="18">
        <v>0.51700000000000002</v>
      </c>
      <c r="L65" s="17">
        <v>23153</v>
      </c>
      <c r="M65" s="80">
        <f>Table95[[#This Row],[TRUMP VOTES]]/C200</f>
        <v>0.30451651936026936</v>
      </c>
      <c r="N65" s="18">
        <v>0.46899999999999997</v>
      </c>
      <c r="O65" s="80">
        <f>1-(Table95[[#This Row],[NbP]]+Table95[[#This Row],[NbP2]])</f>
        <v>0.35940130471380471</v>
      </c>
    </row>
    <row r="66" spans="1:15" ht="20">
      <c r="A66" s="78" t="s">
        <v>2928</v>
      </c>
      <c r="B66" s="78" t="s">
        <v>2888</v>
      </c>
      <c r="C66" s="78" t="s">
        <v>2889</v>
      </c>
      <c r="D66" s="78" t="s">
        <v>297</v>
      </c>
      <c r="E66" s="78">
        <v>2</v>
      </c>
      <c r="F66" s="78">
        <f>Table94[[#This Row],[SFY 2020]]/C201</f>
        <v>2.8526601055484238E-4</v>
      </c>
      <c r="H66" s="16" t="s">
        <v>2995</v>
      </c>
      <c r="I66" s="17">
        <v>1590</v>
      </c>
      <c r="J66" s="80">
        <f>Table95[[#This Row],[BIDEN VOTES]]/C201</f>
        <v>0.22678647839109969</v>
      </c>
      <c r="K66" s="18">
        <v>0.38700000000000001</v>
      </c>
      <c r="L66" s="17">
        <v>2450</v>
      </c>
      <c r="M66" s="80">
        <f>Table95[[#This Row],[TRUMP VOTES]]/C201</f>
        <v>0.34945086292968192</v>
      </c>
      <c r="N66" s="18">
        <v>0.59699999999999998</v>
      </c>
      <c r="O66" s="80">
        <f>1-(Table95[[#This Row],[NbP]]+Table95[[#This Row],[NbP2]])</f>
        <v>0.42376265867921836</v>
      </c>
    </row>
    <row r="67" spans="1:15" ht="20">
      <c r="A67" s="78" t="s">
        <v>2929</v>
      </c>
      <c r="B67" s="78" t="s">
        <v>2888</v>
      </c>
      <c r="C67" s="78" t="s">
        <v>2889</v>
      </c>
      <c r="D67" s="78" t="s">
        <v>297</v>
      </c>
      <c r="E67" s="78">
        <v>11</v>
      </c>
      <c r="F67" s="78">
        <f>Table94[[#This Row],[SFY 2020]]/C202</f>
        <v>4.123093069455377E-4</v>
      </c>
      <c r="H67" s="16" t="s">
        <v>2996</v>
      </c>
      <c r="I67" s="17">
        <v>5404</v>
      </c>
      <c r="J67" s="80">
        <f>Table95[[#This Row],[BIDEN VOTES]]/C202</f>
        <v>0.20255631770306234</v>
      </c>
      <c r="K67" s="18">
        <v>0.38200000000000001</v>
      </c>
      <c r="L67" s="17">
        <v>8446</v>
      </c>
      <c r="M67" s="80">
        <f>Table95[[#This Row],[TRUMP VOTES]]/C202</f>
        <v>0.31657858240563741</v>
      </c>
      <c r="N67" s="18">
        <v>0.59599999999999997</v>
      </c>
      <c r="O67" s="80">
        <f>1-(Table95[[#This Row],[NbP]]+Table95[[#This Row],[NbP2]])</f>
        <v>0.48086509989130022</v>
      </c>
    </row>
    <row r="68" spans="1:15" ht="20">
      <c r="A68" s="78" t="s">
        <v>2930</v>
      </c>
      <c r="B68" s="78" t="s">
        <v>2888</v>
      </c>
      <c r="C68" s="78" t="s">
        <v>2889</v>
      </c>
      <c r="D68" s="78" t="s">
        <v>297</v>
      </c>
      <c r="E68" s="78">
        <v>5</v>
      </c>
      <c r="F68" s="78">
        <f>Table94[[#This Row],[SFY 2020]]/C203</f>
        <v>2.9437739181630853E-4</v>
      </c>
      <c r="H68" s="16" t="s">
        <v>2997</v>
      </c>
      <c r="I68" s="17">
        <v>3260</v>
      </c>
      <c r="J68" s="80">
        <f>Table95[[#This Row],[BIDEN VOTES]]/C203</f>
        <v>0.19193405946423314</v>
      </c>
      <c r="K68" s="18">
        <v>0.30399999999999999</v>
      </c>
      <c r="L68" s="17">
        <v>7320</v>
      </c>
      <c r="M68" s="80">
        <f>Table95[[#This Row],[TRUMP VOTES]]/C203</f>
        <v>0.43096850161907563</v>
      </c>
      <c r="N68" s="18">
        <v>0.68300000000000005</v>
      </c>
      <c r="O68" s="80">
        <f>1-(Table95[[#This Row],[NbP]]+Table95[[#This Row],[NbP2]])</f>
        <v>0.37709743891669123</v>
      </c>
    </row>
    <row r="69" spans="1:15" ht="20">
      <c r="A69" s="78" t="s">
        <v>2202</v>
      </c>
      <c r="B69" s="78" t="s">
        <v>2888</v>
      </c>
      <c r="C69" s="78" t="s">
        <v>2889</v>
      </c>
      <c r="D69" s="78" t="s">
        <v>297</v>
      </c>
      <c r="E69" s="78">
        <v>5</v>
      </c>
      <c r="F69" s="78">
        <f>Table94[[#This Row],[SFY 2020]]/C204</f>
        <v>4.6790192775594233E-4</v>
      </c>
      <c r="H69" s="16" t="s">
        <v>2252</v>
      </c>
      <c r="I69" s="17">
        <v>3368</v>
      </c>
      <c r="J69" s="80">
        <f>Table95[[#This Row],[BIDEN VOTES]]/C204</f>
        <v>0.31517873853640277</v>
      </c>
      <c r="K69" s="18">
        <v>0.47199999999999998</v>
      </c>
      <c r="L69" s="17">
        <v>3697</v>
      </c>
      <c r="M69" s="80">
        <f>Table95[[#This Row],[TRUMP VOTES]]/C204</f>
        <v>0.34596668538274378</v>
      </c>
      <c r="N69" s="18">
        <v>0.51800000000000002</v>
      </c>
      <c r="O69" s="80">
        <f>1-(Table95[[#This Row],[NbP]]+Table95[[#This Row],[NbP2]])</f>
        <v>0.33885457608085345</v>
      </c>
    </row>
    <row r="70" spans="1:15" ht="20">
      <c r="A70" s="78" t="s">
        <v>687</v>
      </c>
      <c r="B70" s="78" t="s">
        <v>2888</v>
      </c>
      <c r="C70" s="78" t="s">
        <v>2889</v>
      </c>
      <c r="D70" s="78" t="s">
        <v>297</v>
      </c>
      <c r="E70" s="78">
        <v>30</v>
      </c>
      <c r="F70" s="78">
        <f>Table94[[#This Row],[SFY 2020]]/C205</f>
        <v>1.2645955401930616E-3</v>
      </c>
      <c r="H70" s="16" t="s">
        <v>459</v>
      </c>
      <c r="I70" s="17">
        <v>1489</v>
      </c>
      <c r="J70" s="80">
        <f>Table95[[#This Row],[BIDEN VOTES]]/C205</f>
        <v>6.276609197824895E-2</v>
      </c>
      <c r="K70" s="18">
        <v>0.15</v>
      </c>
      <c r="L70" s="17">
        <v>8365</v>
      </c>
      <c r="M70" s="80">
        <f>Table95[[#This Row],[TRUMP VOTES]]/C205</f>
        <v>0.35261138979049866</v>
      </c>
      <c r="N70" s="18">
        <v>0.84199999999999997</v>
      </c>
      <c r="O70" s="80">
        <f>1-(Table95[[#This Row],[NbP]]+Table95[[#This Row],[NbP2]])</f>
        <v>0.58462251823125233</v>
      </c>
    </row>
    <row r="71" spans="1:15" ht="20">
      <c r="A71" s="78" t="s">
        <v>2814</v>
      </c>
      <c r="B71" s="78" t="s">
        <v>2888</v>
      </c>
      <c r="C71" s="78" t="s">
        <v>2889</v>
      </c>
      <c r="D71" s="78" t="s">
        <v>297</v>
      </c>
      <c r="E71" s="78">
        <v>0</v>
      </c>
      <c r="F71" s="78">
        <f>Table94[[#This Row],[SFY 2020]]/C206</f>
        <v>0</v>
      </c>
      <c r="H71" s="16" t="s">
        <v>3033</v>
      </c>
      <c r="I71" s="17">
        <v>1791</v>
      </c>
      <c r="J71" s="80">
        <f>Table95[[#This Row],[BIDEN VOTES]]/C206</f>
        <v>0.24857737682165162</v>
      </c>
      <c r="K71" s="18">
        <v>0.65200000000000002</v>
      </c>
      <c r="L71" s="19">
        <v>906</v>
      </c>
      <c r="M71" s="80">
        <f>Table95[[#This Row],[TRUMP VOTES]]/C206</f>
        <v>0.12574600971547537</v>
      </c>
      <c r="N71" s="18">
        <v>0.33</v>
      </c>
      <c r="O71" s="80">
        <f>1-(Table95[[#This Row],[NbP]]+Table95[[#This Row],[NbP2]])</f>
        <v>0.62567661346287307</v>
      </c>
    </row>
    <row r="72" spans="1:15" ht="20">
      <c r="A72" s="78" t="s">
        <v>2931</v>
      </c>
      <c r="B72" s="78" t="s">
        <v>2888</v>
      </c>
      <c r="C72" s="78" t="s">
        <v>2889</v>
      </c>
      <c r="D72" s="78" t="s">
        <v>297</v>
      </c>
      <c r="E72" s="78">
        <v>72</v>
      </c>
      <c r="F72" s="78">
        <f>Table94[[#This Row],[SFY 2020]]/C207</f>
        <v>1.7764092846991948E-4</v>
      </c>
      <c r="H72" s="16" t="s">
        <v>2998</v>
      </c>
      <c r="I72" s="17">
        <v>138372</v>
      </c>
      <c r="J72" s="80">
        <f>Table95[[#This Row],[BIDEN VOTES]]/C207</f>
        <v>0.34139625769777354</v>
      </c>
      <c r="K72" s="18">
        <v>0.61899999999999999</v>
      </c>
      <c r="L72" s="17">
        <v>82088</v>
      </c>
      <c r="M72" s="80">
        <f>Table95[[#This Row],[TRUMP VOTES]]/C207</f>
        <v>0.20253039633664929</v>
      </c>
      <c r="N72" s="18">
        <v>0.36699999999999999</v>
      </c>
      <c r="O72" s="80">
        <f>1-(Table95[[#This Row],[NbP]]+Table95[[#This Row],[NbP2]])</f>
        <v>0.45607334596557714</v>
      </c>
    </row>
    <row r="73" spans="1:15" ht="20">
      <c r="A73" s="78" t="s">
        <v>1509</v>
      </c>
      <c r="B73" s="78" t="s">
        <v>2888</v>
      </c>
      <c r="C73" s="78" t="s">
        <v>2889</v>
      </c>
      <c r="D73" s="78" t="s">
        <v>297</v>
      </c>
      <c r="E73" s="78">
        <v>29</v>
      </c>
      <c r="F73" s="78">
        <f>Table94[[#This Row],[SFY 2020]]/C208</f>
        <v>7.9118240846837997E-4</v>
      </c>
      <c r="H73" s="16" t="s">
        <v>1552</v>
      </c>
      <c r="I73" s="17">
        <v>8269</v>
      </c>
      <c r="J73" s="80">
        <f>Table95[[#This Row],[BIDEN VOTES]]/C208</f>
        <v>0.22559611502155291</v>
      </c>
      <c r="K73" s="18">
        <v>0.378</v>
      </c>
      <c r="L73" s="17">
        <v>13294</v>
      </c>
      <c r="M73" s="80">
        <f>Table95[[#This Row],[TRUMP VOTES]]/C208</f>
        <v>0.36268892890271187</v>
      </c>
      <c r="N73" s="18">
        <v>0.60799999999999998</v>
      </c>
      <c r="O73" s="80">
        <f>1-(Table95[[#This Row],[NbP]]+Table95[[#This Row],[NbP2]])</f>
        <v>0.41171495607573516</v>
      </c>
    </row>
    <row r="74" spans="1:15" ht="20">
      <c r="A74" s="78" t="s">
        <v>2932</v>
      </c>
      <c r="B74" s="78" t="s">
        <v>2888</v>
      </c>
      <c r="C74" s="78" t="s">
        <v>2889</v>
      </c>
      <c r="D74" s="78" t="s">
        <v>297</v>
      </c>
      <c r="E74" s="78">
        <v>5</v>
      </c>
      <c r="F74" s="78">
        <f>Table94[[#This Row],[SFY 2020]]/C209</f>
        <v>4.0670245648283715E-4</v>
      </c>
      <c r="H74" s="16" t="s">
        <v>2999</v>
      </c>
      <c r="I74" s="17">
        <v>2418</v>
      </c>
      <c r="J74" s="80">
        <f>Table95[[#This Row],[BIDEN VOTES]]/C209</f>
        <v>0.19668130795510005</v>
      </c>
      <c r="K74" s="18">
        <v>0.40300000000000002</v>
      </c>
      <c r="L74" s="17">
        <v>3537</v>
      </c>
      <c r="M74" s="80">
        <f>Table95[[#This Row],[TRUMP VOTES]]/C209</f>
        <v>0.28770131771595903</v>
      </c>
      <c r="N74" s="18">
        <v>0.59</v>
      </c>
      <c r="O74" s="80">
        <f>1-(Table95[[#This Row],[NbP]]+Table95[[#This Row],[NbP2]])</f>
        <v>0.51561737432894095</v>
      </c>
    </row>
    <row r="75" spans="1:15" ht="20">
      <c r="A75" s="78" t="s">
        <v>2933</v>
      </c>
      <c r="B75" s="78" t="s">
        <v>2888</v>
      </c>
      <c r="C75" s="78" t="s">
        <v>2889</v>
      </c>
      <c r="D75" s="78" t="s">
        <v>297</v>
      </c>
      <c r="E75" s="78">
        <v>111</v>
      </c>
      <c r="F75" s="78">
        <f>Table94[[#This Row],[SFY 2020]]/C210</f>
        <v>1.3708781030011116E-3</v>
      </c>
      <c r="H75" s="16" t="s">
        <v>3055</v>
      </c>
      <c r="I75" s="17">
        <v>18048</v>
      </c>
      <c r="J75" s="80">
        <f>Table95[[#This Row],[BIDEN VOTES]]/C210</f>
        <v>0.22289736939607263</v>
      </c>
      <c r="K75" s="18">
        <v>0.501</v>
      </c>
      <c r="L75" s="17">
        <v>17097</v>
      </c>
      <c r="M75" s="80">
        <f>Table95[[#This Row],[TRUMP VOTES]]/C210</f>
        <v>0.21115227862171174</v>
      </c>
      <c r="N75" s="18">
        <v>0.47499999999999998</v>
      </c>
      <c r="O75" s="80">
        <f>1-(Table95[[#This Row],[NbP]]+Table95[[#This Row],[NbP2]])</f>
        <v>0.56595035198221566</v>
      </c>
    </row>
    <row r="76" spans="1:15" ht="20">
      <c r="A76" s="78" t="s">
        <v>125</v>
      </c>
      <c r="B76" s="78" t="s">
        <v>2888</v>
      </c>
      <c r="C76" s="78" t="s">
        <v>2889</v>
      </c>
      <c r="D76" s="78" t="s">
        <v>297</v>
      </c>
      <c r="E76" s="78">
        <v>10</v>
      </c>
      <c r="F76" s="78">
        <f>Table94[[#This Row],[SFY 2020]]/C211</f>
        <v>7.5711689884918232E-4</v>
      </c>
      <c r="H76" s="16" t="s">
        <v>226</v>
      </c>
      <c r="I76" s="17">
        <v>2698</v>
      </c>
      <c r="J76" s="80">
        <f>Table95[[#This Row],[BIDEN VOTES]]/C211</f>
        <v>0.20427013930950938</v>
      </c>
      <c r="K76" s="18">
        <v>0.33300000000000002</v>
      </c>
      <c r="L76" s="17">
        <v>5300</v>
      </c>
      <c r="M76" s="80">
        <f>Table95[[#This Row],[TRUMP VOTES]]/C211</f>
        <v>0.40127195639006663</v>
      </c>
      <c r="N76" s="18">
        <v>0.65400000000000003</v>
      </c>
      <c r="O76" s="80">
        <f>1-(Table95[[#This Row],[NbP]]+Table95[[#This Row],[NbP2]])</f>
        <v>0.39445790430042393</v>
      </c>
    </row>
    <row r="77" spans="1:15" ht="20">
      <c r="A77" s="78" t="s">
        <v>2934</v>
      </c>
      <c r="B77" s="78" t="s">
        <v>2888</v>
      </c>
      <c r="C77" s="78" t="s">
        <v>2889</v>
      </c>
      <c r="D77" s="78" t="s">
        <v>297</v>
      </c>
      <c r="E77" s="78">
        <v>20</v>
      </c>
      <c r="F77" s="78">
        <f>Table94[[#This Row],[SFY 2020]]/C212</f>
        <v>4.8735318485306303E-4</v>
      </c>
      <c r="H77" s="16" t="s">
        <v>3034</v>
      </c>
      <c r="I77" s="17">
        <v>10356</v>
      </c>
      <c r="J77" s="80">
        <f>Table95[[#This Row],[BIDEN VOTES]]/C212</f>
        <v>0.25235147911691602</v>
      </c>
      <c r="K77" s="18">
        <v>0.61299999999999999</v>
      </c>
      <c r="L77" s="17">
        <v>6256</v>
      </c>
      <c r="M77" s="80">
        <f>Table95[[#This Row],[TRUMP VOTES]]/C212</f>
        <v>0.15244407622203812</v>
      </c>
      <c r="N77" s="18">
        <v>0.37</v>
      </c>
      <c r="O77" s="80">
        <f>1-(Table95[[#This Row],[NbP]]+Table95[[#This Row],[NbP2]])</f>
        <v>0.59520444466104583</v>
      </c>
    </row>
    <row r="78" spans="1:15" ht="20">
      <c r="A78" s="78" t="s">
        <v>2935</v>
      </c>
      <c r="B78" s="78" t="s">
        <v>2888</v>
      </c>
      <c r="C78" s="78" t="s">
        <v>2889</v>
      </c>
      <c r="D78" s="78" t="s">
        <v>297</v>
      </c>
      <c r="E78" s="78">
        <v>13</v>
      </c>
      <c r="F78" s="78">
        <f>Table94[[#This Row],[SFY 2020]]/C213</f>
        <v>7.4082516526099843E-4</v>
      </c>
      <c r="H78" s="16" t="s">
        <v>3035</v>
      </c>
      <c r="I78" s="17">
        <v>3992</v>
      </c>
      <c r="J78" s="80">
        <f>Table95[[#This Row],[BIDEN VOTES]]/C213</f>
        <v>0.22749031228630043</v>
      </c>
      <c r="K78" s="18">
        <v>0.65800000000000003</v>
      </c>
      <c r="L78" s="17">
        <v>1979</v>
      </c>
      <c r="M78" s="80">
        <f>Table95[[#This Row],[TRUMP VOTES]]/C213</f>
        <v>0.11277638477319353</v>
      </c>
      <c r="N78" s="18">
        <v>0.32600000000000001</v>
      </c>
      <c r="O78" s="80">
        <f>1-(Table95[[#This Row],[NbP]]+Table95[[#This Row],[NbP2]])</f>
        <v>0.65973330294050603</v>
      </c>
    </row>
    <row r="79" spans="1:15" ht="20">
      <c r="A79" s="78" t="s">
        <v>2936</v>
      </c>
      <c r="B79" s="78" t="s">
        <v>2888</v>
      </c>
      <c r="C79" s="78" t="s">
        <v>2889</v>
      </c>
      <c r="D79" s="78" t="s">
        <v>297</v>
      </c>
      <c r="E79" s="78">
        <v>17</v>
      </c>
      <c r="F79" s="78">
        <f>Table94[[#This Row],[SFY 2020]]/C214</f>
        <v>1.3442985924402974E-3</v>
      </c>
      <c r="H79" s="16" t="s">
        <v>3036</v>
      </c>
      <c r="I79" s="17">
        <v>3766</v>
      </c>
      <c r="J79" s="80">
        <f>Table95[[#This Row],[BIDEN VOTES]]/C214</f>
        <v>0.29780167641942118</v>
      </c>
      <c r="K79" s="18">
        <v>0.627</v>
      </c>
      <c r="L79" s="17">
        <v>2165</v>
      </c>
      <c r="M79" s="80">
        <f>Table95[[#This Row],[TRUMP VOTES]]/C214</f>
        <v>0.1712003795666614</v>
      </c>
      <c r="N79" s="18">
        <v>0.36099999999999999</v>
      </c>
      <c r="O79" s="80">
        <f>1-(Table95[[#This Row],[NbP]]+Table95[[#This Row],[NbP2]])</f>
        <v>0.53099794401391742</v>
      </c>
    </row>
    <row r="80" spans="1:15" ht="20">
      <c r="A80" s="78" t="s">
        <v>2937</v>
      </c>
      <c r="B80" s="78" t="s">
        <v>2888</v>
      </c>
      <c r="C80" s="78" t="s">
        <v>2889</v>
      </c>
      <c r="D80" s="78" t="s">
        <v>297</v>
      </c>
      <c r="E80" s="78">
        <v>6</v>
      </c>
      <c r="F80" s="78">
        <f>Table94[[#This Row],[SFY 2020]]/C215</f>
        <v>6.8493150684931507E-4</v>
      </c>
      <c r="H80" s="16" t="s">
        <v>3000</v>
      </c>
      <c r="I80" s="17">
        <v>1825</v>
      </c>
      <c r="J80" s="80">
        <f>Table95[[#This Row],[BIDEN VOTES]]/C215</f>
        <v>0.20833333333333334</v>
      </c>
      <c r="K80" s="18">
        <v>0.314</v>
      </c>
      <c r="L80" s="17">
        <v>3901</v>
      </c>
      <c r="M80" s="80">
        <f>Table95[[#This Row],[TRUMP VOTES]]/C215</f>
        <v>0.44531963470319635</v>
      </c>
      <c r="N80" s="18">
        <v>0.67100000000000004</v>
      </c>
      <c r="O80" s="80">
        <f>1-(Table95[[#This Row],[NbP]]+Table95[[#This Row],[NbP2]])</f>
        <v>0.34634703196347028</v>
      </c>
    </row>
    <row r="81" spans="1:15" ht="20">
      <c r="A81" s="78" t="s">
        <v>2428</v>
      </c>
      <c r="B81" s="78" t="s">
        <v>2888</v>
      </c>
      <c r="C81" s="78" t="s">
        <v>2889</v>
      </c>
      <c r="D81" s="78" t="s">
        <v>297</v>
      </c>
      <c r="E81" s="78">
        <v>63</v>
      </c>
      <c r="F81" s="78">
        <f>Table94[[#This Row],[SFY 2020]]/C216</f>
        <v>2.0503807850029291E-3</v>
      </c>
      <c r="H81" s="16" t="s">
        <v>2489</v>
      </c>
      <c r="I81" s="17">
        <v>6803</v>
      </c>
      <c r="J81" s="80">
        <f>Table95[[#This Row],[BIDEN VOTES]]/C216</f>
        <v>0.22140857905357025</v>
      </c>
      <c r="K81" s="18">
        <v>0.42</v>
      </c>
      <c r="L81" s="17">
        <v>9266</v>
      </c>
      <c r="M81" s="80">
        <f>Table95[[#This Row],[TRUMP VOTES]]/C216</f>
        <v>0.30156870402916097</v>
      </c>
      <c r="N81" s="18">
        <v>0.57299999999999995</v>
      </c>
      <c r="O81" s="80">
        <f>1-(Table95[[#This Row],[NbP]]+Table95[[#This Row],[NbP2]])</f>
        <v>0.47702271691726872</v>
      </c>
    </row>
    <row r="82" spans="1:15" ht="20">
      <c r="A82" s="78" t="s">
        <v>813</v>
      </c>
      <c r="B82" s="78" t="s">
        <v>2888</v>
      </c>
      <c r="C82" s="78" t="s">
        <v>2889</v>
      </c>
      <c r="D82" s="78" t="s">
        <v>297</v>
      </c>
      <c r="E82" s="78">
        <v>18</v>
      </c>
      <c r="F82" s="78">
        <f>Table94[[#This Row],[SFY 2020]]/C217</f>
        <v>1.6914113888366849E-3</v>
      </c>
      <c r="H82" s="16" t="s">
        <v>795</v>
      </c>
      <c r="I82" s="17">
        <v>2491</v>
      </c>
      <c r="J82" s="80">
        <f>Table95[[#This Row],[BIDEN VOTES]]/C217</f>
        <v>0.23407254275512121</v>
      </c>
      <c r="K82" s="18">
        <v>0.36799999999999999</v>
      </c>
      <c r="L82" s="17">
        <v>4196</v>
      </c>
      <c r="M82" s="80">
        <f>Table95[[#This Row],[TRUMP VOTES]]/C217</f>
        <v>0.39428678819770718</v>
      </c>
      <c r="N82" s="18">
        <v>0.62</v>
      </c>
      <c r="O82" s="80">
        <f>1-(Table95[[#This Row],[NbP]]+Table95[[#This Row],[NbP2]])</f>
        <v>0.37164066904717163</v>
      </c>
    </row>
    <row r="83" spans="1:15" ht="20">
      <c r="A83" s="78" t="s">
        <v>133</v>
      </c>
      <c r="B83" s="78" t="s">
        <v>2888</v>
      </c>
      <c r="C83" s="78" t="s">
        <v>2889</v>
      </c>
      <c r="D83" s="78" t="s">
        <v>297</v>
      </c>
      <c r="E83" s="78">
        <v>149</v>
      </c>
      <c r="F83" s="78">
        <f>Table94[[#This Row],[SFY 2020]]/C218</f>
        <v>1.5127671455403828E-3</v>
      </c>
      <c r="H83" s="16" t="s">
        <v>232</v>
      </c>
      <c r="I83" s="17">
        <v>23218</v>
      </c>
      <c r="J83" s="80">
        <f>Table95[[#This Row],[BIDEN VOTES]]/C218</f>
        <v>0.23572770191380274</v>
      </c>
      <c r="K83" s="18">
        <v>0.51800000000000002</v>
      </c>
      <c r="L83" s="17">
        <v>20629</v>
      </c>
      <c r="M83" s="80">
        <f>Table95[[#This Row],[TRUMP VOTES]]/C218</f>
        <v>0.20944210366008426</v>
      </c>
      <c r="N83" s="18">
        <v>0.46100000000000002</v>
      </c>
      <c r="O83" s="80">
        <f>1-(Table95[[#This Row],[NbP]]+Table95[[#This Row],[NbP2]])</f>
        <v>0.55483019442611303</v>
      </c>
    </row>
    <row r="84" spans="1:15" ht="20">
      <c r="A84" s="78" t="s">
        <v>1613</v>
      </c>
      <c r="B84" s="78" t="s">
        <v>2888</v>
      </c>
      <c r="C84" s="78" t="s">
        <v>2889</v>
      </c>
      <c r="D84" s="78" t="s">
        <v>297</v>
      </c>
      <c r="E84" s="78">
        <v>12</v>
      </c>
      <c r="F84" s="78">
        <f>Table94[[#This Row],[SFY 2020]]/C219</f>
        <v>8.1015392924655685E-4</v>
      </c>
      <c r="H84" s="16" t="s">
        <v>1660</v>
      </c>
      <c r="I84" s="17">
        <v>4327</v>
      </c>
      <c r="J84" s="80">
        <f>Table95[[#This Row],[BIDEN VOTES]]/C219</f>
        <v>0.29212800432082098</v>
      </c>
      <c r="K84" s="18">
        <v>0.46600000000000003</v>
      </c>
      <c r="L84" s="17">
        <v>4812</v>
      </c>
      <c r="M84" s="80">
        <f>Table95[[#This Row],[TRUMP VOTES]]/C219</f>
        <v>0.32487172562786931</v>
      </c>
      <c r="N84" s="18">
        <v>0.51800000000000002</v>
      </c>
      <c r="O84" s="80">
        <f>1-(Table95[[#This Row],[NbP]]+Table95[[#This Row],[NbP2]])</f>
        <v>0.38300027005130977</v>
      </c>
    </row>
    <row r="85" spans="1:15" ht="20">
      <c r="A85" s="78" t="s">
        <v>2938</v>
      </c>
      <c r="B85" s="78" t="s">
        <v>2888</v>
      </c>
      <c r="C85" s="78" t="s">
        <v>2889</v>
      </c>
      <c r="D85" s="78" t="s">
        <v>297</v>
      </c>
      <c r="E85" s="78">
        <v>7</v>
      </c>
      <c r="F85" s="78">
        <f>Table94[[#This Row],[SFY 2020]]/C220</f>
        <v>3.1376064545047064E-4</v>
      </c>
      <c r="H85" s="16" t="s">
        <v>3001</v>
      </c>
      <c r="I85" s="17">
        <v>4621</v>
      </c>
      <c r="J85" s="80">
        <f>Table95[[#This Row],[BIDEN VOTES]]/C220</f>
        <v>0.2071268489466607</v>
      </c>
      <c r="K85" s="18">
        <v>0.32</v>
      </c>
      <c r="L85" s="17">
        <v>9631</v>
      </c>
      <c r="M85" s="80">
        <f>Table95[[#This Row],[TRUMP VOTES]]/C220</f>
        <v>0.43168982519049753</v>
      </c>
      <c r="N85" s="18">
        <v>0.66800000000000004</v>
      </c>
      <c r="O85" s="80">
        <f>1-(Table95[[#This Row],[NbP]]+Table95[[#This Row],[NbP2]])</f>
        <v>0.36118332586284174</v>
      </c>
    </row>
    <row r="86" spans="1:15" ht="20">
      <c r="A86" s="78" t="s">
        <v>2939</v>
      </c>
      <c r="B86" s="78" t="s">
        <v>2888</v>
      </c>
      <c r="C86" s="78" t="s">
        <v>2889</v>
      </c>
      <c r="D86" s="78" t="s">
        <v>297</v>
      </c>
      <c r="E86" s="78">
        <v>183</v>
      </c>
      <c r="F86" s="78">
        <f>Table94[[#This Row],[SFY 2020]]/C221</f>
        <v>1.0190330879486808E-3</v>
      </c>
      <c r="H86" s="16" t="s">
        <v>3037</v>
      </c>
      <c r="I86" s="17">
        <v>53099</v>
      </c>
      <c r="J86" s="80">
        <f>Table95[[#This Row],[BIDEN VOTES]]/C221</f>
        <v>0.29568108162287982</v>
      </c>
      <c r="K86" s="18">
        <v>0.65600000000000003</v>
      </c>
      <c r="L86" s="17">
        <v>26377</v>
      </c>
      <c r="M86" s="80">
        <f>Table95[[#This Row],[TRUMP VOTES]]/C221</f>
        <v>0.14687997683509482</v>
      </c>
      <c r="N86" s="18">
        <v>0.32600000000000001</v>
      </c>
      <c r="O86" s="80">
        <f>1-(Table95[[#This Row],[NbP]]+Table95[[#This Row],[NbP2]])</f>
        <v>0.55743894154202533</v>
      </c>
    </row>
    <row r="87" spans="1:15" ht="20">
      <c r="A87" s="78" t="s">
        <v>2940</v>
      </c>
      <c r="B87" s="78" t="s">
        <v>2888</v>
      </c>
      <c r="C87" s="78" t="s">
        <v>2889</v>
      </c>
      <c r="D87" s="78" t="s">
        <v>297</v>
      </c>
      <c r="E87" s="78">
        <v>368</v>
      </c>
      <c r="F87" s="78">
        <f>Table94[[#This Row],[SFY 2020]]/C222</f>
        <v>1.5063446582071224E-3</v>
      </c>
      <c r="H87" s="16" t="s">
        <v>3038</v>
      </c>
      <c r="I87" s="17">
        <v>64440</v>
      </c>
      <c r="J87" s="80">
        <f>Table95[[#This Row],[BIDEN VOTES]]/C222</f>
        <v>0.26377404830126894</v>
      </c>
      <c r="K87" s="18">
        <v>0.72</v>
      </c>
      <c r="L87" s="17">
        <v>23443</v>
      </c>
      <c r="M87" s="80">
        <f>Table95[[#This Row],[TRUMP VOTES]]/C222</f>
        <v>9.5959885386819488E-2</v>
      </c>
      <c r="N87" s="18">
        <v>0.26200000000000001</v>
      </c>
      <c r="O87" s="80">
        <f>1-(Table95[[#This Row],[NbP]]+Table95[[#This Row],[NbP2]])</f>
        <v>0.64026606631191152</v>
      </c>
    </row>
    <row r="88" spans="1:15" ht="20">
      <c r="A88" s="78" t="s">
        <v>2431</v>
      </c>
      <c r="B88" s="78" t="s">
        <v>2888</v>
      </c>
      <c r="C88" s="78" t="s">
        <v>2889</v>
      </c>
      <c r="D88" s="78" t="s">
        <v>297</v>
      </c>
      <c r="E88" s="78">
        <v>6</v>
      </c>
      <c r="F88" s="78">
        <f>Table94[[#This Row],[SFY 2020]]/C223</f>
        <v>5.0735667174023336E-4</v>
      </c>
      <c r="H88" s="16" t="s">
        <v>2492</v>
      </c>
      <c r="I88" s="17">
        <v>3667</v>
      </c>
      <c r="J88" s="80">
        <f>Table95[[#This Row],[BIDEN VOTES]]/C223</f>
        <v>0.31007948587857265</v>
      </c>
      <c r="K88" s="18">
        <v>0.54600000000000004</v>
      </c>
      <c r="L88" s="17">
        <v>2955</v>
      </c>
      <c r="M88" s="80">
        <f>Table95[[#This Row],[TRUMP VOTES]]/C223</f>
        <v>0.24987316083206493</v>
      </c>
      <c r="N88" s="18">
        <v>0.44</v>
      </c>
      <c r="O88" s="80">
        <f>1-(Table95[[#This Row],[NbP]]+Table95[[#This Row],[NbP2]])</f>
        <v>0.4400473532893624</v>
      </c>
    </row>
    <row r="89" spans="1:15" ht="20">
      <c r="A89" s="78" t="s">
        <v>2941</v>
      </c>
      <c r="B89" s="78" t="s">
        <v>2888</v>
      </c>
      <c r="C89" s="78" t="s">
        <v>2889</v>
      </c>
      <c r="D89" s="78" t="s">
        <v>297</v>
      </c>
      <c r="E89" s="78">
        <v>13</v>
      </c>
      <c r="F89" s="78">
        <f>Table94[[#This Row],[SFY 2020]]/C224</f>
        <v>1.0698707925273639E-3</v>
      </c>
      <c r="H89" s="16" t="s">
        <v>2787</v>
      </c>
      <c r="I89" s="17">
        <v>3252</v>
      </c>
      <c r="J89" s="80">
        <f>Table95[[#This Row],[BIDEN VOTES]]/C224</f>
        <v>0.26763229363838364</v>
      </c>
      <c r="K89" s="18">
        <v>0.41699999999999998</v>
      </c>
      <c r="L89" s="17">
        <v>4485</v>
      </c>
      <c r="M89" s="80">
        <f>Table95[[#This Row],[TRUMP VOTES]]/C224</f>
        <v>0.36910542342194058</v>
      </c>
      <c r="N89" s="18">
        <v>0.57599999999999996</v>
      </c>
      <c r="O89" s="80">
        <f>1-(Table95[[#This Row],[NbP]]+Table95[[#This Row],[NbP2]])</f>
        <v>0.36326228293967577</v>
      </c>
    </row>
    <row r="90" spans="1:15" ht="20">
      <c r="A90" s="78" t="s">
        <v>2942</v>
      </c>
      <c r="B90" s="78" t="s">
        <v>2888</v>
      </c>
      <c r="C90" s="78" t="s">
        <v>2889</v>
      </c>
      <c r="D90" s="78" t="s">
        <v>297</v>
      </c>
      <c r="E90" s="78">
        <v>21</v>
      </c>
      <c r="F90" s="78">
        <f>Table94[[#This Row],[SFY 2020]]/C225</f>
        <v>5.2910052910052907E-3</v>
      </c>
      <c r="H90" s="16" t="s">
        <v>3039</v>
      </c>
      <c r="I90" s="19">
        <v>464</v>
      </c>
      <c r="J90" s="80">
        <f>Table95[[#This Row],[BIDEN VOTES]]/C225</f>
        <v>0.11690602166792644</v>
      </c>
      <c r="K90" s="18">
        <v>0.29099999999999998</v>
      </c>
      <c r="L90" s="17">
        <v>1109</v>
      </c>
      <c r="M90" s="80">
        <f>Table95[[#This Row],[TRUMP VOTES]]/C225</f>
        <v>0.27941546989166038</v>
      </c>
      <c r="N90" s="18">
        <v>0.69599999999999995</v>
      </c>
      <c r="O90" s="80">
        <f>1-(Table95[[#This Row],[NbP]]+Table95[[#This Row],[NbP2]])</f>
        <v>0.60367850844041315</v>
      </c>
    </row>
    <row r="91" spans="1:15" ht="20">
      <c r="A91" s="78" t="s">
        <v>2943</v>
      </c>
      <c r="B91" s="78" t="s">
        <v>2888</v>
      </c>
      <c r="C91" s="78" t="s">
        <v>2889</v>
      </c>
      <c r="D91" s="78" t="s">
        <v>297</v>
      </c>
      <c r="E91" s="78">
        <v>2</v>
      </c>
      <c r="F91" s="78">
        <f>Table94[[#This Row],[SFY 2020]]/C226</f>
        <v>1.3039509714434736E-4</v>
      </c>
      <c r="H91" s="16" t="s">
        <v>3002</v>
      </c>
      <c r="I91" s="17">
        <v>2971</v>
      </c>
      <c r="J91" s="80">
        <f>Table95[[#This Row],[BIDEN VOTES]]/C226</f>
        <v>0.19370191680792803</v>
      </c>
      <c r="K91" s="18">
        <v>0.42</v>
      </c>
      <c r="L91" s="17">
        <v>4027</v>
      </c>
      <c r="M91" s="80">
        <f>Table95[[#This Row],[TRUMP VOTES]]/C226</f>
        <v>0.26255052810014345</v>
      </c>
      <c r="N91" s="18">
        <v>0.56999999999999995</v>
      </c>
      <c r="O91" s="80">
        <f>1-(Table95[[#This Row],[NbP]]+Table95[[#This Row],[NbP2]])</f>
        <v>0.54374755509192851</v>
      </c>
    </row>
    <row r="92" spans="1:15" ht="20">
      <c r="A92" s="78" t="s">
        <v>720</v>
      </c>
      <c r="B92" s="78" t="s">
        <v>2888</v>
      </c>
      <c r="C92" s="78" t="s">
        <v>2889</v>
      </c>
      <c r="D92" s="78" t="s">
        <v>297</v>
      </c>
      <c r="E92" s="78">
        <v>34</v>
      </c>
      <c r="F92" s="78">
        <f>Table94[[#This Row],[SFY 2020]]/C227</f>
        <v>9.3148132927864987E-4</v>
      </c>
      <c r="H92" s="16" t="s">
        <v>491</v>
      </c>
      <c r="I92" s="17">
        <v>7995</v>
      </c>
      <c r="J92" s="80">
        <f>Table95[[#This Row],[BIDEN VOTES]]/C227</f>
        <v>0.21903509492890605</v>
      </c>
      <c r="K92" s="18">
        <v>0.38600000000000001</v>
      </c>
      <c r="L92" s="17">
        <v>12426</v>
      </c>
      <c r="M92" s="80">
        <f>Table95[[#This Row],[TRUMP VOTES]]/C227</f>
        <v>0.34042902934166186</v>
      </c>
      <c r="N92" s="18">
        <v>0.60099999999999998</v>
      </c>
      <c r="O92" s="80">
        <f>1-(Table95[[#This Row],[NbP]]+Table95[[#This Row],[NbP2]])</f>
        <v>0.44053587572943209</v>
      </c>
    </row>
    <row r="93" spans="1:15" ht="20">
      <c r="A93" s="78" t="s">
        <v>1517</v>
      </c>
      <c r="B93" s="78" t="s">
        <v>2888</v>
      </c>
      <c r="C93" s="78" t="s">
        <v>2889</v>
      </c>
      <c r="D93" s="78" t="s">
        <v>297</v>
      </c>
      <c r="E93" s="78">
        <v>9</v>
      </c>
      <c r="F93" s="78">
        <f>Table94[[#This Row],[SFY 2020]]/C228</f>
        <v>3.7716872014080966E-4</v>
      </c>
      <c r="H93" s="16" t="s">
        <v>1560</v>
      </c>
      <c r="I93" s="17">
        <v>3007</v>
      </c>
      <c r="J93" s="80">
        <f>Table95[[#This Row],[BIDEN VOTES]]/C228</f>
        <v>0.12601626016260162</v>
      </c>
      <c r="K93" s="18">
        <v>0.24099999999999999</v>
      </c>
      <c r="L93" s="17">
        <v>9345</v>
      </c>
      <c r="M93" s="80">
        <f>Table95[[#This Row],[TRUMP VOTES]]/C228</f>
        <v>0.39162685441287404</v>
      </c>
      <c r="N93" s="18">
        <v>0.748</v>
      </c>
      <c r="O93" s="80">
        <f>1-(Table95[[#This Row],[NbP]]+Table95[[#This Row],[NbP2]])</f>
        <v>0.48235688542452437</v>
      </c>
    </row>
    <row r="94" spans="1:15" ht="20">
      <c r="A94" s="78" t="s">
        <v>2944</v>
      </c>
      <c r="B94" s="78" t="s">
        <v>2888</v>
      </c>
      <c r="C94" s="78" t="s">
        <v>2889</v>
      </c>
      <c r="D94" s="78" t="s">
        <v>297</v>
      </c>
      <c r="E94" s="78">
        <v>26</v>
      </c>
      <c r="F94" s="78">
        <f>Table94[[#This Row],[SFY 2020]]/C229</f>
        <v>1.4722536806342015E-3</v>
      </c>
      <c r="H94" s="16" t="s">
        <v>3003</v>
      </c>
      <c r="I94" s="17">
        <v>1954</v>
      </c>
      <c r="J94" s="80">
        <f>Table95[[#This Row],[BIDEN VOTES]]/C229</f>
        <v>0.11064552661381653</v>
      </c>
      <c r="K94" s="18">
        <v>0.20499999999999999</v>
      </c>
      <c r="L94" s="17">
        <v>7485</v>
      </c>
      <c r="M94" s="80">
        <f>Table95[[#This Row],[TRUMP VOTES]]/C229</f>
        <v>0.42383918459796149</v>
      </c>
      <c r="N94" s="18">
        <v>0.78600000000000003</v>
      </c>
      <c r="O94" s="80">
        <f>1-(Table95[[#This Row],[NbP]]+Table95[[#This Row],[NbP2]])</f>
        <v>0.46551528878822201</v>
      </c>
    </row>
    <row r="95" spans="1:15" ht="20">
      <c r="A95" s="78" t="s">
        <v>2945</v>
      </c>
      <c r="B95" s="78" t="s">
        <v>2888</v>
      </c>
      <c r="C95" s="78" t="s">
        <v>2889</v>
      </c>
      <c r="D95" s="78" t="s">
        <v>297</v>
      </c>
      <c r="E95" s="78">
        <v>18</v>
      </c>
      <c r="F95" s="78">
        <f>Table94[[#This Row],[SFY 2020]]/C230</f>
        <v>5.8458640511837873E-4</v>
      </c>
      <c r="H95" s="16" t="s">
        <v>3040</v>
      </c>
      <c r="I95" s="17">
        <v>12389</v>
      </c>
      <c r="J95" s="80">
        <f>Table95[[#This Row],[BIDEN VOTES]]/C230</f>
        <v>0.40235783183397744</v>
      </c>
      <c r="K95" s="18">
        <v>0.88</v>
      </c>
      <c r="L95" s="17">
        <v>1584</v>
      </c>
      <c r="M95" s="80">
        <f>Table95[[#This Row],[TRUMP VOTES]]/C230</f>
        <v>5.1443603650417329E-2</v>
      </c>
      <c r="N95" s="18">
        <v>0.112</v>
      </c>
      <c r="O95" s="80">
        <f>1-(Table95[[#This Row],[NbP]]+Table95[[#This Row],[NbP2]])</f>
        <v>0.54619856451560522</v>
      </c>
    </row>
    <row r="96" spans="1:15" ht="20">
      <c r="A96" s="78" t="s">
        <v>2946</v>
      </c>
      <c r="B96" s="78" t="s">
        <v>2888</v>
      </c>
      <c r="C96" s="78" t="s">
        <v>2889</v>
      </c>
      <c r="D96" s="78" t="s">
        <v>297</v>
      </c>
      <c r="E96" s="78">
        <v>34</v>
      </c>
      <c r="F96" s="78">
        <f>Table94[[#This Row],[SFY 2020]]/C231</f>
        <v>5.5859496935942296E-4</v>
      </c>
      <c r="H96" s="16" t="s">
        <v>3004</v>
      </c>
      <c r="I96" s="17">
        <v>10115</v>
      </c>
      <c r="J96" s="80">
        <f>Table95[[#This Row],[BIDEN VOTES]]/C231</f>
        <v>0.16618200338442835</v>
      </c>
      <c r="K96" s="18">
        <v>0.29599999999999999</v>
      </c>
      <c r="L96" s="17">
        <v>23751</v>
      </c>
      <c r="M96" s="80">
        <f>Table95[[#This Row],[TRUMP VOTES]]/C231</f>
        <v>0.39021144462516633</v>
      </c>
      <c r="N96" s="18">
        <v>0.69499999999999995</v>
      </c>
      <c r="O96" s="80">
        <f>1-(Table95[[#This Row],[NbP]]+Table95[[#This Row],[NbP2]])</f>
        <v>0.44360655199040533</v>
      </c>
    </row>
    <row r="97" spans="1:15" ht="20">
      <c r="A97" s="78" t="s">
        <v>2947</v>
      </c>
      <c r="B97" s="78" t="s">
        <v>2888</v>
      </c>
      <c r="C97" s="78" t="s">
        <v>2889</v>
      </c>
      <c r="D97" s="78" t="s">
        <v>297</v>
      </c>
      <c r="E97" s="78">
        <v>0</v>
      </c>
      <c r="F97" s="78">
        <f>Table94[[#This Row],[SFY 2020]]/C232</f>
        <v>0</v>
      </c>
      <c r="H97" s="16" t="s">
        <v>3041</v>
      </c>
      <c r="I97" s="17">
        <v>2054</v>
      </c>
      <c r="J97" s="80">
        <f>Table95[[#This Row],[BIDEN VOTES]]/C232</f>
        <v>0.16945796551439651</v>
      </c>
      <c r="K97" s="18">
        <v>0.26300000000000001</v>
      </c>
      <c r="L97" s="17">
        <v>5605</v>
      </c>
      <c r="M97" s="80">
        <f>Table95[[#This Row],[TRUMP VOTES]]/C232</f>
        <v>0.46242059236036631</v>
      </c>
      <c r="N97" s="18">
        <v>0.71699999999999997</v>
      </c>
      <c r="O97" s="80">
        <f>1-(Table95[[#This Row],[NbP]]+Table95[[#This Row],[NbP2]])</f>
        <v>0.36812144212523723</v>
      </c>
    </row>
    <row r="98" spans="1:15" ht="20">
      <c r="A98" s="78" t="s">
        <v>2948</v>
      </c>
      <c r="B98" s="78" t="s">
        <v>2888</v>
      </c>
      <c r="C98" s="78" t="s">
        <v>2889</v>
      </c>
      <c r="D98" s="78" t="s">
        <v>297</v>
      </c>
      <c r="E98" s="78">
        <v>27</v>
      </c>
      <c r="F98" s="78">
        <f>Table94[[#This Row],[SFY 2020]]/C233</f>
        <v>2.8432725013426564E-4</v>
      </c>
      <c r="H98" s="16" t="s">
        <v>3042</v>
      </c>
      <c r="I98" s="17">
        <v>30948</v>
      </c>
      <c r="J98" s="80">
        <f>Table95[[#This Row],[BIDEN VOTES]]/C233</f>
        <v>0.32590221248723161</v>
      </c>
      <c r="K98" s="18">
        <v>0.69699999999999995</v>
      </c>
      <c r="L98" s="17">
        <v>12755</v>
      </c>
      <c r="M98" s="80">
        <f>Table95[[#This Row],[TRUMP VOTES]]/C233</f>
        <v>0.13431829909120585</v>
      </c>
      <c r="N98" s="18">
        <v>0.28699999999999998</v>
      </c>
      <c r="O98" s="80">
        <f>1-(Table95[[#This Row],[NbP]]+Table95[[#This Row],[NbP2]])</f>
        <v>0.53977948842156254</v>
      </c>
    </row>
    <row r="99" spans="1:15" ht="20">
      <c r="A99" s="78" t="s">
        <v>2949</v>
      </c>
      <c r="B99" s="78" t="s">
        <v>2888</v>
      </c>
      <c r="C99" s="78" t="s">
        <v>2889</v>
      </c>
      <c r="D99" s="78" t="s">
        <v>297</v>
      </c>
      <c r="E99" s="78">
        <v>1</v>
      </c>
      <c r="F99" s="78">
        <f>Table94[[#This Row],[SFY 2020]]/C234</f>
        <v>3.418452808258982E-5</v>
      </c>
      <c r="H99" s="16" t="s">
        <v>3005</v>
      </c>
      <c r="I99" s="17">
        <v>5320</v>
      </c>
      <c r="J99" s="80">
        <f>Table95[[#This Row],[BIDEN VOTES]]/C234</f>
        <v>0.18186168939937783</v>
      </c>
      <c r="K99" s="18">
        <v>0.27</v>
      </c>
      <c r="L99" s="17">
        <v>14055</v>
      </c>
      <c r="M99" s="80">
        <f>Table95[[#This Row],[TRUMP VOTES]]/C234</f>
        <v>0.4804635422007999</v>
      </c>
      <c r="N99" s="18">
        <v>0.71399999999999997</v>
      </c>
      <c r="O99" s="80">
        <f>1-(Table95[[#This Row],[NbP]]+Table95[[#This Row],[NbP2]])</f>
        <v>0.33767476839982224</v>
      </c>
    </row>
    <row r="100" spans="1:15" ht="20">
      <c r="A100" s="78" t="s">
        <v>2950</v>
      </c>
      <c r="B100" s="78" t="s">
        <v>2888</v>
      </c>
      <c r="C100" s="78" t="s">
        <v>2889</v>
      </c>
      <c r="D100" s="78" t="s">
        <v>297</v>
      </c>
      <c r="E100" s="78">
        <v>11</v>
      </c>
      <c r="F100" s="78">
        <f>Table94[[#This Row],[SFY 2020]]/C235</f>
        <v>4.8051721125283941E-4</v>
      </c>
      <c r="H100" s="16" t="s">
        <v>3006</v>
      </c>
      <c r="I100" s="17">
        <v>4973</v>
      </c>
      <c r="J100" s="80">
        <f>Table95[[#This Row],[BIDEN VOTES]]/C235</f>
        <v>0.2172374628691246</v>
      </c>
      <c r="K100" s="18">
        <v>0.52100000000000002</v>
      </c>
      <c r="L100" s="17">
        <v>4434</v>
      </c>
      <c r="M100" s="80">
        <f>Table95[[#This Row],[TRUMP VOTES]]/C235</f>
        <v>0.19369211951773546</v>
      </c>
      <c r="N100" s="18">
        <v>0.46500000000000002</v>
      </c>
      <c r="O100" s="80">
        <f>1-(Table95[[#This Row],[NbP]]+Table95[[#This Row],[NbP2]])</f>
        <v>0.58907041761313994</v>
      </c>
    </row>
    <row r="101" spans="1:15" ht="20">
      <c r="A101" s="78" t="s">
        <v>2951</v>
      </c>
      <c r="B101" s="78" t="s">
        <v>2888</v>
      </c>
      <c r="C101" s="78" t="s">
        <v>2889</v>
      </c>
      <c r="D101" s="78" t="s">
        <v>297</v>
      </c>
      <c r="E101" s="78">
        <v>27</v>
      </c>
      <c r="F101" s="78">
        <f>Table94[[#This Row],[SFY 2020]]/C236</f>
        <v>7.0510811657787525E-4</v>
      </c>
      <c r="H101" s="16" t="s">
        <v>3007</v>
      </c>
      <c r="I101" s="17">
        <v>7103</v>
      </c>
      <c r="J101" s="80">
        <f>Table95[[#This Row],[BIDEN VOTES]]/C236</f>
        <v>0.18549566489083882</v>
      </c>
      <c r="K101" s="18">
        <v>0.40799999999999997</v>
      </c>
      <c r="L101" s="17">
        <v>10103</v>
      </c>
      <c r="M101" s="80">
        <f>Table95[[#This Row],[TRUMP VOTES]]/C236</f>
        <v>0.26384101117726938</v>
      </c>
      <c r="N101" s="18">
        <v>0.58099999999999996</v>
      </c>
      <c r="O101" s="80">
        <f>1-(Table95[[#This Row],[NbP]]+Table95[[#This Row],[NbP2]])</f>
        <v>0.55066332393189177</v>
      </c>
    </row>
    <row r="102" spans="1:15" ht="20">
      <c r="A102" s="78" t="s">
        <v>2952</v>
      </c>
      <c r="B102" s="78" t="s">
        <v>2888</v>
      </c>
      <c r="C102" s="78" t="s">
        <v>2889</v>
      </c>
      <c r="D102" s="78" t="s">
        <v>297</v>
      </c>
      <c r="E102" s="78">
        <v>373</v>
      </c>
      <c r="F102" s="78">
        <f>Table94[[#This Row],[SFY 2020]]/C237</f>
        <v>7.9899921599540732E-4</v>
      </c>
      <c r="H102" s="16" t="s">
        <v>3053</v>
      </c>
      <c r="I102" s="17">
        <v>142863</v>
      </c>
      <c r="J102" s="80">
        <f>Table95[[#This Row],[BIDEN VOTES]]/C237</f>
        <v>0.30602526808244473</v>
      </c>
      <c r="K102" s="18">
        <v>0.628</v>
      </c>
      <c r="L102" s="17">
        <v>81222</v>
      </c>
      <c r="M102" s="80">
        <f>Table95[[#This Row],[TRUMP VOTES]]/C237</f>
        <v>0.17398475689431361</v>
      </c>
      <c r="N102" s="18">
        <v>0.35699999999999998</v>
      </c>
      <c r="O102" s="80">
        <f>1-(Table95[[#This Row],[NbP]]+Table95[[#This Row],[NbP2]])</f>
        <v>0.51998997502324162</v>
      </c>
    </row>
    <row r="103" spans="1:15" ht="20">
      <c r="A103" s="78" t="s">
        <v>1277</v>
      </c>
      <c r="B103" s="78" t="s">
        <v>2888</v>
      </c>
      <c r="C103" s="78" t="s">
        <v>2889</v>
      </c>
      <c r="D103" s="78" t="s">
        <v>297</v>
      </c>
      <c r="E103" s="78">
        <v>115</v>
      </c>
      <c r="F103" s="78">
        <f>Table94[[#This Row],[SFY 2020]]/C238</f>
        <v>3.371148828892211E-3</v>
      </c>
      <c r="H103" s="16" t="s">
        <v>1370</v>
      </c>
      <c r="I103" s="17">
        <v>4925</v>
      </c>
      <c r="J103" s="80">
        <f>Table95[[#This Row],[BIDEN VOTES]]/C238</f>
        <v>0.14437311288951427</v>
      </c>
      <c r="K103" s="18">
        <v>0.28399999999999997</v>
      </c>
      <c r="L103" s="17">
        <v>12127</v>
      </c>
      <c r="M103" s="80">
        <f>Table95[[#This Row],[TRUMP VOTES]]/C238</f>
        <v>0.3554949725910943</v>
      </c>
      <c r="N103" s="18">
        <v>0.7</v>
      </c>
      <c r="O103" s="80">
        <f>1-(Table95[[#This Row],[NbP]]+Table95[[#This Row],[NbP2]])</f>
        <v>0.50013191451939143</v>
      </c>
    </row>
    <row r="104" spans="1:15" ht="20">
      <c r="A104" s="78" t="s">
        <v>2953</v>
      </c>
      <c r="B104" s="78" t="s">
        <v>2888</v>
      </c>
      <c r="C104" s="78" t="s">
        <v>2889</v>
      </c>
      <c r="D104" s="78" t="s">
        <v>297</v>
      </c>
      <c r="E104" s="78">
        <v>39</v>
      </c>
      <c r="F104" s="78">
        <f>Table94[[#This Row],[SFY 2020]]/C239</f>
        <v>2.1869567655470198E-3</v>
      </c>
      <c r="H104" s="16" t="s">
        <v>3043</v>
      </c>
      <c r="I104" s="17">
        <v>3358</v>
      </c>
      <c r="J104" s="80">
        <f>Table95[[#This Row],[BIDEN VOTES]]/C239</f>
        <v>0.18830258509504852</v>
      </c>
      <c r="K104" s="18">
        <v>0.53400000000000003</v>
      </c>
      <c r="L104" s="17">
        <v>2786</v>
      </c>
      <c r="M104" s="80">
        <f>Table95[[#This Row],[TRUMP VOTES]]/C239</f>
        <v>0.1562272192003589</v>
      </c>
      <c r="N104" s="18">
        <v>0.443</v>
      </c>
      <c r="O104" s="80">
        <f>1-(Table95[[#This Row],[NbP]]+Table95[[#This Row],[NbP2]])</f>
        <v>0.65547019570459253</v>
      </c>
    </row>
    <row r="105" spans="1:15" ht="20">
      <c r="A105" s="78" t="s">
        <v>2954</v>
      </c>
      <c r="B105" s="78" t="s">
        <v>2888</v>
      </c>
      <c r="C105" s="78" t="s">
        <v>2889</v>
      </c>
      <c r="D105" s="78" t="s">
        <v>297</v>
      </c>
      <c r="E105" s="78">
        <v>3</v>
      </c>
      <c r="F105" s="78">
        <f>Table94[[#This Row],[SFY 2020]]/C240</f>
        <v>4.0760869565217389E-4</v>
      </c>
      <c r="H105" s="16" t="s">
        <v>3008</v>
      </c>
      <c r="I105" s="17">
        <v>2096</v>
      </c>
      <c r="J105" s="80">
        <f>Table95[[#This Row],[BIDEN VOTES]]/C240</f>
        <v>0.2847826086956522</v>
      </c>
      <c r="K105" s="18">
        <v>0.42199999999999999</v>
      </c>
      <c r="L105" s="17">
        <v>2812</v>
      </c>
      <c r="M105" s="80">
        <f>Table95[[#This Row],[TRUMP VOTES]]/C240</f>
        <v>0.38206521739130433</v>
      </c>
      <c r="N105" s="18">
        <v>0.56599999999999995</v>
      </c>
      <c r="O105" s="80">
        <f>1-(Table95[[#This Row],[NbP]]+Table95[[#This Row],[NbP2]])</f>
        <v>0.33315217391304341</v>
      </c>
    </row>
    <row r="106" spans="1:15" ht="20">
      <c r="A106" s="78" t="s">
        <v>2955</v>
      </c>
      <c r="B106" s="78" t="s">
        <v>2888</v>
      </c>
      <c r="C106" s="78" t="s">
        <v>2889</v>
      </c>
      <c r="D106" s="78" t="s">
        <v>297</v>
      </c>
      <c r="E106" s="78">
        <v>87</v>
      </c>
      <c r="F106" s="78">
        <f>Table94[[#This Row],[SFY 2020]]/C241</f>
        <v>3.7952650796351309E-4</v>
      </c>
      <c r="H106" s="16" t="s">
        <v>3044</v>
      </c>
      <c r="I106" s="17">
        <v>92175</v>
      </c>
      <c r="J106" s="80">
        <f>Table95[[#This Row],[BIDEN VOTES]]/C241</f>
        <v>0.40210179162685999</v>
      </c>
      <c r="K106" s="18">
        <v>0.83399999999999996</v>
      </c>
      <c r="L106" s="17">
        <v>16603</v>
      </c>
      <c r="M106" s="80">
        <f>Table95[[#This Row],[TRUMP VOTES]]/C241</f>
        <v>7.2428489789864464E-2</v>
      </c>
      <c r="N106" s="18">
        <v>0.15</v>
      </c>
      <c r="O106" s="80">
        <f>1-(Table95[[#This Row],[NbP]]+Table95[[#This Row],[NbP2]])</f>
        <v>0.52546971858327551</v>
      </c>
    </row>
    <row r="107" spans="1:15" ht="20">
      <c r="A107" s="78" t="s">
        <v>1373</v>
      </c>
      <c r="B107" s="78" t="s">
        <v>2888</v>
      </c>
      <c r="C107" s="78" t="s">
        <v>2889</v>
      </c>
      <c r="D107" s="78" t="s">
        <v>297</v>
      </c>
      <c r="E107" s="78">
        <v>1</v>
      </c>
      <c r="F107" s="78">
        <f>Table94[[#This Row],[SFY 2020]]/C242</f>
        <v>1.1171936096525528E-4</v>
      </c>
      <c r="H107" s="16" t="s">
        <v>1373</v>
      </c>
      <c r="I107" s="17">
        <v>1513</v>
      </c>
      <c r="J107" s="80">
        <f>Table95[[#This Row],[BIDEN VOTES]]/C242</f>
        <v>0.16903139314043122</v>
      </c>
      <c r="K107" s="18">
        <v>0.37</v>
      </c>
      <c r="L107" s="17">
        <v>2547</v>
      </c>
      <c r="M107" s="80">
        <f>Table95[[#This Row],[TRUMP VOTES]]/C242</f>
        <v>0.28454921237850517</v>
      </c>
      <c r="N107" s="18">
        <v>0.623</v>
      </c>
      <c r="O107" s="80">
        <f>1-(Table95[[#This Row],[NbP]]+Table95[[#This Row],[NbP2]])</f>
        <v>0.54641939448106358</v>
      </c>
    </row>
    <row r="108" spans="1:15" ht="20">
      <c r="A108" s="78" t="s">
        <v>2956</v>
      </c>
      <c r="B108" s="78" t="s">
        <v>2888</v>
      </c>
      <c r="C108" s="78" t="s">
        <v>2889</v>
      </c>
      <c r="D108" s="78" t="s">
        <v>297</v>
      </c>
      <c r="E108" s="78">
        <v>173</v>
      </c>
      <c r="F108" s="78">
        <f>Table94[[#This Row],[SFY 2020]]/C243</f>
        <v>1.7453239442303424E-3</v>
      </c>
      <c r="H108" s="16" t="s">
        <v>3045</v>
      </c>
      <c r="I108" s="17">
        <v>26773</v>
      </c>
      <c r="J108" s="80">
        <f>Table95[[#This Row],[BIDEN VOTES]]/C243</f>
        <v>0.27010149109178588</v>
      </c>
      <c r="K108" s="18">
        <v>0.62</v>
      </c>
      <c r="L108" s="17">
        <v>15607</v>
      </c>
      <c r="M108" s="80">
        <f>Table95[[#This Row],[TRUMP VOTES]]/C243</f>
        <v>0.15745243235608644</v>
      </c>
      <c r="N108" s="18">
        <v>0.36199999999999999</v>
      </c>
      <c r="O108" s="80">
        <f>1-(Table95[[#This Row],[NbP]]+Table95[[#This Row],[NbP2]])</f>
        <v>0.57244607655212765</v>
      </c>
    </row>
    <row r="109" spans="1:15" ht="20">
      <c r="A109" s="78" t="s">
        <v>2957</v>
      </c>
      <c r="B109" s="78" t="s">
        <v>2888</v>
      </c>
      <c r="C109" s="78" t="s">
        <v>2889</v>
      </c>
      <c r="D109" s="78" t="s">
        <v>297</v>
      </c>
      <c r="E109" s="78">
        <v>85</v>
      </c>
      <c r="F109" s="78">
        <f>Table94[[#This Row],[SFY 2020]]/C244</f>
        <v>9.0326557070444084E-4</v>
      </c>
      <c r="H109" s="16" t="s">
        <v>2957</v>
      </c>
      <c r="I109" s="17">
        <v>21801</v>
      </c>
      <c r="J109" s="80">
        <f>Table95[[#This Row],[BIDEN VOTES]]/C244</f>
        <v>0.2316716789050296</v>
      </c>
      <c r="K109" s="18">
        <v>0.38300000000000001</v>
      </c>
      <c r="L109" s="17">
        <v>34268</v>
      </c>
      <c r="M109" s="80">
        <f>Table95[[#This Row],[TRUMP VOTES]]/C244</f>
        <v>0.36415417149293861</v>
      </c>
      <c r="N109" s="18">
        <v>0.60099999999999998</v>
      </c>
      <c r="O109" s="80">
        <f>1-(Table95[[#This Row],[NbP]]+Table95[[#This Row],[NbP2]])</f>
        <v>0.4041741496020318</v>
      </c>
    </row>
    <row r="110" spans="1:15" ht="20">
      <c r="A110" s="78" t="s">
        <v>2958</v>
      </c>
      <c r="B110" s="78" t="s">
        <v>2888</v>
      </c>
      <c r="C110" s="78" t="s">
        <v>2889</v>
      </c>
      <c r="D110" s="78" t="s">
        <v>297</v>
      </c>
      <c r="E110" s="78">
        <v>35</v>
      </c>
      <c r="F110" s="78">
        <f>Table94[[#This Row],[SFY 2020]]/C245</f>
        <v>1.5399507215769096E-3</v>
      </c>
      <c r="H110" s="16" t="s">
        <v>3009</v>
      </c>
      <c r="I110" s="17">
        <v>4086</v>
      </c>
      <c r="J110" s="80">
        <f>Table95[[#This Row],[BIDEN VOTES]]/C245</f>
        <v>0.17977824709609291</v>
      </c>
      <c r="K110" s="18">
        <v>0.33100000000000002</v>
      </c>
      <c r="L110" s="17">
        <v>8088</v>
      </c>
      <c r="M110" s="80">
        <f>Table95[[#This Row],[TRUMP VOTES]]/C245</f>
        <v>0.35586061246040129</v>
      </c>
      <c r="N110" s="18">
        <v>0.65500000000000003</v>
      </c>
      <c r="O110" s="80">
        <f>1-(Table95[[#This Row],[NbP]]+Table95[[#This Row],[NbP2]])</f>
        <v>0.46436114044350574</v>
      </c>
    </row>
    <row r="111" spans="1:15" ht="20">
      <c r="A111" s="78" t="s">
        <v>2302</v>
      </c>
      <c r="B111" s="78" t="s">
        <v>2888</v>
      </c>
      <c r="C111" s="78" t="s">
        <v>2889</v>
      </c>
      <c r="D111" s="78" t="s">
        <v>297</v>
      </c>
      <c r="E111" s="78">
        <v>156</v>
      </c>
      <c r="F111" s="78">
        <f>Table94[[#This Row],[SFY 2020]]/C246</f>
        <v>1.9226502994897582E-3</v>
      </c>
      <c r="H111" s="16" t="s">
        <v>2309</v>
      </c>
      <c r="I111" s="17">
        <v>12644</v>
      </c>
      <c r="J111" s="80">
        <f>Table95[[#This Row],[BIDEN VOTES]]/C246</f>
        <v>0.15583327170992631</v>
      </c>
      <c r="K111" s="18">
        <v>0.28999999999999998</v>
      </c>
      <c r="L111" s="17">
        <v>30349</v>
      </c>
      <c r="M111" s="80">
        <f>Table95[[#This Row],[TRUMP VOTES]]/C246</f>
        <v>0.37404175602060685</v>
      </c>
      <c r="N111" s="18">
        <v>0.69499999999999995</v>
      </c>
      <c r="O111" s="80">
        <f>1-(Table95[[#This Row],[NbP]]+Table95[[#This Row],[NbP2]])</f>
        <v>0.47012497226946681</v>
      </c>
    </row>
    <row r="112" spans="1:15" ht="20">
      <c r="A112" s="78" t="s">
        <v>914</v>
      </c>
      <c r="B112" s="78" t="s">
        <v>2888</v>
      </c>
      <c r="C112" s="78" t="s">
        <v>2889</v>
      </c>
      <c r="D112" s="78" t="s">
        <v>297</v>
      </c>
      <c r="E112" s="78">
        <v>94</v>
      </c>
      <c r="F112" s="78">
        <f>Table94[[#This Row],[SFY 2020]]/C247</f>
        <v>3.489623937335264E-3</v>
      </c>
      <c r="H112" s="16" t="s">
        <v>946</v>
      </c>
      <c r="I112" s="17">
        <v>2373</v>
      </c>
      <c r="J112" s="80">
        <f>Table95[[#This Row],[BIDEN VOTES]]/C247</f>
        <v>8.8094442588261504E-2</v>
      </c>
      <c r="K112" s="18">
        <v>0.17799999999999999</v>
      </c>
      <c r="L112" s="17">
        <v>10879</v>
      </c>
      <c r="M112" s="80">
        <f>Table95[[#This Row],[TRUMP VOTES]]/C247</f>
        <v>0.40386828525819507</v>
      </c>
      <c r="N112" s="18">
        <v>0.81399999999999995</v>
      </c>
      <c r="O112" s="80">
        <f>1-(Table95[[#This Row],[NbP]]+Table95[[#This Row],[NbP2]])</f>
        <v>0.50803727215354344</v>
      </c>
    </row>
    <row r="113" spans="1:15" ht="20">
      <c r="A113" s="78" t="s">
        <v>817</v>
      </c>
      <c r="B113" s="78" t="s">
        <v>2888</v>
      </c>
      <c r="C113" s="78" t="s">
        <v>2889</v>
      </c>
      <c r="D113" s="78" t="s">
        <v>297</v>
      </c>
      <c r="E113" s="78">
        <v>0</v>
      </c>
      <c r="F113" s="78">
        <f>Table94[[#This Row],[SFY 2020]]/C248</f>
        <v>0</v>
      </c>
      <c r="H113" s="16" t="s">
        <v>3046</v>
      </c>
      <c r="I113" s="17">
        <v>5148</v>
      </c>
      <c r="J113" s="80">
        <f>Table95[[#This Row],[BIDEN VOTES]]/C248</f>
        <v>0.20355871886120996</v>
      </c>
      <c r="K113" s="18">
        <v>0.39400000000000002</v>
      </c>
      <c r="L113" s="17">
        <v>7683</v>
      </c>
      <c r="M113" s="80">
        <f>Table95[[#This Row],[TRUMP VOTES]]/C248</f>
        <v>0.30379596678529064</v>
      </c>
      <c r="N113" s="18">
        <v>0.58899999999999997</v>
      </c>
      <c r="O113" s="80">
        <f>1-(Table95[[#This Row],[NbP]]+Table95[[#This Row],[NbP2]])</f>
        <v>0.49264531435349945</v>
      </c>
    </row>
    <row r="114" spans="1:15" ht="20">
      <c r="A114" s="78" t="s">
        <v>146</v>
      </c>
      <c r="B114" s="78" t="s">
        <v>2888</v>
      </c>
      <c r="C114" s="78" t="s">
        <v>2889</v>
      </c>
      <c r="D114" s="78" t="s">
        <v>297</v>
      </c>
      <c r="E114" s="78">
        <v>15</v>
      </c>
      <c r="F114" s="78">
        <f>Table94[[#This Row],[SFY 2020]]/C249</f>
        <v>6.8930655760305129E-4</v>
      </c>
      <c r="H114" s="16" t="s">
        <v>245</v>
      </c>
      <c r="I114" s="17">
        <v>1692</v>
      </c>
      <c r="J114" s="80">
        <f>Table95[[#This Row],[BIDEN VOTES]]/C249</f>
        <v>7.775377969762419E-2</v>
      </c>
      <c r="K114" s="18">
        <v>0.156</v>
      </c>
      <c r="L114" s="17">
        <v>9063</v>
      </c>
      <c r="M114" s="80">
        <f>Table95[[#This Row],[TRUMP VOTES]]/C249</f>
        <v>0.41647902210376364</v>
      </c>
      <c r="N114" s="18">
        <v>0.83599999999999997</v>
      </c>
      <c r="O114" s="80">
        <f>1-(Table95[[#This Row],[NbP]]+Table95[[#This Row],[NbP2]])</f>
        <v>0.50576719819861216</v>
      </c>
    </row>
    <row r="115" spans="1:15" ht="20">
      <c r="A115" s="78" t="s">
        <v>2959</v>
      </c>
      <c r="B115" s="78" t="s">
        <v>2888</v>
      </c>
      <c r="C115" s="78" t="s">
        <v>2889</v>
      </c>
      <c r="D115" s="78" t="s">
        <v>297</v>
      </c>
      <c r="E115" s="78">
        <v>19</v>
      </c>
      <c r="F115" s="78">
        <f>Table94[[#This Row],[SFY 2020]]/C250</f>
        <v>4.373748302295067E-4</v>
      </c>
      <c r="H115" s="16" t="s">
        <v>3010</v>
      </c>
      <c r="I115" s="17">
        <v>6836</v>
      </c>
      <c r="J115" s="80">
        <f>Table95[[#This Row],[BIDEN VOTES]]/C250</f>
        <v>0.15736285997099514</v>
      </c>
      <c r="K115" s="18">
        <v>0.28899999999999998</v>
      </c>
      <c r="L115" s="17">
        <v>16463</v>
      </c>
      <c r="M115" s="80">
        <f>Table95[[#This Row],[TRUMP VOTES]]/C250</f>
        <v>0.37897378052991415</v>
      </c>
      <c r="N115" s="18">
        <v>0.69599999999999995</v>
      </c>
      <c r="O115" s="80">
        <f>1-(Table95[[#This Row],[NbP]]+Table95[[#This Row],[NbP2]])</f>
        <v>0.46366335949909065</v>
      </c>
    </row>
    <row r="116" spans="1:15" ht="20">
      <c r="A116" s="78" t="s">
        <v>2960</v>
      </c>
      <c r="B116" s="78" t="s">
        <v>2888</v>
      </c>
      <c r="C116" s="78" t="s">
        <v>2889</v>
      </c>
      <c r="D116" s="78" t="s">
        <v>297</v>
      </c>
      <c r="E116" s="78">
        <v>77</v>
      </c>
      <c r="F116" s="78">
        <f>Table94[[#This Row],[SFY 2020]]/C251</f>
        <v>2.5213661220079243E-3</v>
      </c>
      <c r="H116" s="16" t="s">
        <v>3011</v>
      </c>
      <c r="I116" s="17">
        <v>3008</v>
      </c>
      <c r="J116" s="80">
        <f>Table95[[#This Row],[BIDEN VOTES]]/C251</f>
        <v>9.8497003831166705E-2</v>
      </c>
      <c r="K116" s="18">
        <v>0.21299999999999999</v>
      </c>
      <c r="L116" s="17">
        <v>10963</v>
      </c>
      <c r="M116" s="80">
        <f>Table95[[#This Row],[TRUMP VOTES]]/C251</f>
        <v>0.35898359474769964</v>
      </c>
      <c r="N116" s="18">
        <v>0.77700000000000002</v>
      </c>
      <c r="O116" s="80">
        <f>1-(Table95[[#This Row],[NbP]]+Table95[[#This Row],[NbP2]])</f>
        <v>0.54251940142113364</v>
      </c>
    </row>
    <row r="117" spans="1:15" ht="20">
      <c r="A117" s="78" t="s">
        <v>2961</v>
      </c>
      <c r="B117" s="78" t="s">
        <v>2888</v>
      </c>
      <c r="C117" s="78" t="s">
        <v>2889</v>
      </c>
      <c r="D117" s="78" t="s">
        <v>297</v>
      </c>
      <c r="E117" s="78">
        <v>3</v>
      </c>
      <c r="F117" s="78">
        <f>Table94[[#This Row],[SFY 2020]]/C252</f>
        <v>1.6826518593303046E-4</v>
      </c>
      <c r="H117" s="16" t="s">
        <v>3012</v>
      </c>
      <c r="I117" s="17">
        <v>3969</v>
      </c>
      <c r="J117" s="80">
        <f>Table95[[#This Row],[BIDEN VOTES]]/C252</f>
        <v>0.22261484098939929</v>
      </c>
      <c r="K117" s="18">
        <v>0.40600000000000003</v>
      </c>
      <c r="L117" s="17">
        <v>5730</v>
      </c>
      <c r="M117" s="80">
        <f>Table95[[#This Row],[TRUMP VOTES]]/C252</f>
        <v>0.32138650513208816</v>
      </c>
      <c r="N117" s="18">
        <v>0.58599999999999997</v>
      </c>
      <c r="O117" s="80">
        <f>1-(Table95[[#This Row],[NbP]]+Table95[[#This Row],[NbP2]])</f>
        <v>0.45599865387851257</v>
      </c>
    </row>
    <row r="118" spans="1:15" ht="20">
      <c r="A118" s="78" t="s">
        <v>2962</v>
      </c>
      <c r="B118" s="78" t="s">
        <v>2888</v>
      </c>
      <c r="C118" s="78" t="s">
        <v>2889</v>
      </c>
      <c r="D118" s="78" t="s">
        <v>297</v>
      </c>
      <c r="E118" s="78">
        <v>38</v>
      </c>
      <c r="F118" s="78">
        <f>Table94[[#This Row],[SFY 2020]]/C253</f>
        <v>2.821439973864556E-4</v>
      </c>
      <c r="H118" s="16" t="s">
        <v>3013</v>
      </c>
      <c r="I118" s="17">
        <v>34307</v>
      </c>
      <c r="J118" s="80">
        <f>Table95[[#This Row],[BIDEN VOTES]]/C253</f>
        <v>0.254724055745714</v>
      </c>
      <c r="K118" s="18">
        <v>0.45700000000000002</v>
      </c>
      <c r="L118" s="17">
        <v>39411</v>
      </c>
      <c r="M118" s="80">
        <f>Table95[[#This Row],[TRUMP VOTES]]/C253</f>
        <v>0.29262044949993687</v>
      </c>
      <c r="N118" s="18">
        <v>0.52500000000000002</v>
      </c>
      <c r="O118" s="80">
        <f>1-(Table95[[#This Row],[NbP]]+Table95[[#This Row],[NbP2]])</f>
        <v>0.45265549475434907</v>
      </c>
    </row>
    <row r="119" spans="1:15" ht="20">
      <c r="A119" s="78" t="s">
        <v>2963</v>
      </c>
      <c r="B119" s="78" t="s">
        <v>2888</v>
      </c>
      <c r="C119" s="78" t="s">
        <v>2889</v>
      </c>
      <c r="D119" s="78" t="s">
        <v>297</v>
      </c>
      <c r="E119" s="78">
        <v>54</v>
      </c>
      <c r="F119" s="78">
        <f>Table94[[#This Row],[SFY 2020]]/C254</f>
        <v>3.5955654692545861E-4</v>
      </c>
      <c r="H119" s="16" t="s">
        <v>3054</v>
      </c>
      <c r="I119" s="17">
        <v>40245</v>
      </c>
      <c r="J119" s="80">
        <f>Table95[[#This Row],[BIDEN VOTES]]/C254</f>
        <v>0.26796950427805705</v>
      </c>
      <c r="K119" s="18">
        <v>0.50800000000000001</v>
      </c>
      <c r="L119" s="17">
        <v>37636</v>
      </c>
      <c r="M119" s="80">
        <f>Table95[[#This Row],[TRUMP VOTES]]/C254</f>
        <v>0.25059759629789924</v>
      </c>
      <c r="N119" s="18">
        <v>0.47499999999999998</v>
      </c>
      <c r="O119" s="80">
        <f>1-(Table95[[#This Row],[NbP]]+Table95[[#This Row],[NbP2]])</f>
        <v>0.48143289942404377</v>
      </c>
    </row>
    <row r="120" spans="1:15" ht="20">
      <c r="A120" s="78" t="s">
        <v>2964</v>
      </c>
      <c r="B120" s="78" t="s">
        <v>2888</v>
      </c>
      <c r="C120" s="78" t="s">
        <v>2889</v>
      </c>
      <c r="D120" s="78" t="s">
        <v>297</v>
      </c>
      <c r="E120" s="78">
        <v>33</v>
      </c>
      <c r="F120" s="78">
        <f>Table94[[#This Row],[SFY 2020]]/C255</f>
        <v>1.3381995133819951E-3</v>
      </c>
      <c r="H120" s="16" t="s">
        <v>3047</v>
      </c>
      <c r="I120" s="17">
        <v>6981</v>
      </c>
      <c r="J120" s="80">
        <f>Table95[[#This Row],[BIDEN VOTES]]/C255</f>
        <v>0.28309002433090025</v>
      </c>
      <c r="K120" s="18">
        <v>0.54</v>
      </c>
      <c r="L120" s="17">
        <v>5695</v>
      </c>
      <c r="M120" s="80">
        <f>Table95[[#This Row],[TRUMP VOTES]]/C255</f>
        <v>0.23094079480940793</v>
      </c>
      <c r="N120" s="18">
        <v>0.441</v>
      </c>
      <c r="O120" s="80">
        <f>1-(Table95[[#This Row],[NbP]]+Table95[[#This Row],[NbP2]])</f>
        <v>0.48596918085969176</v>
      </c>
    </row>
    <row r="121" spans="1:15" ht="20">
      <c r="A121" s="78" t="s">
        <v>2965</v>
      </c>
      <c r="B121" s="78" t="s">
        <v>2888</v>
      </c>
      <c r="C121" s="78" t="s">
        <v>2889</v>
      </c>
      <c r="D121" s="78" t="s">
        <v>297</v>
      </c>
      <c r="E121" s="78">
        <v>58</v>
      </c>
      <c r="F121" s="78">
        <f>Table94[[#This Row],[SFY 2020]]/C256</f>
        <v>6.3469135397174531E-4</v>
      </c>
      <c r="H121" s="16" t="s">
        <v>3048</v>
      </c>
      <c r="I121" s="17">
        <v>28676</v>
      </c>
      <c r="J121" s="80">
        <f>Table95[[#This Row],[BIDEN VOTES]]/C256</f>
        <v>0.31380015976713393</v>
      </c>
      <c r="K121" s="18">
        <v>0.57999999999999996</v>
      </c>
      <c r="L121" s="17">
        <v>20082</v>
      </c>
      <c r="M121" s="80">
        <f>Table95[[#This Row],[TRUMP VOTES]]/C256</f>
        <v>0.21975640983552738</v>
      </c>
      <c r="N121" s="18">
        <v>0.40600000000000003</v>
      </c>
      <c r="O121" s="80">
        <f>1-(Table95[[#This Row],[NbP]]+Table95[[#This Row],[NbP2]])</f>
        <v>0.46644343039733871</v>
      </c>
    </row>
    <row r="122" spans="1:15" ht="20">
      <c r="A122" s="78" t="s">
        <v>2443</v>
      </c>
      <c r="B122" s="78" t="s">
        <v>2888</v>
      </c>
      <c r="C122" s="78" t="s">
        <v>2889</v>
      </c>
      <c r="D122" s="78" t="s">
        <v>297</v>
      </c>
      <c r="E122" s="78">
        <v>0</v>
      </c>
      <c r="F122" s="78">
        <f>Table94[[#This Row],[SFY 2020]]/C257</f>
        <v>0</v>
      </c>
      <c r="H122" s="16" t="s">
        <v>2504</v>
      </c>
      <c r="I122" s="17">
        <v>2397</v>
      </c>
      <c r="J122" s="80">
        <f>Table95[[#This Row],[BIDEN VOTES]]/C257</f>
        <v>0.37111007895959125</v>
      </c>
      <c r="K122" s="18">
        <v>0.53700000000000003</v>
      </c>
      <c r="L122" s="17">
        <v>2025</v>
      </c>
      <c r="M122" s="80">
        <f>Table95[[#This Row],[TRUMP VOTES]]/C257</f>
        <v>0.31351602415234558</v>
      </c>
      <c r="N122" s="18">
        <v>0.45400000000000001</v>
      </c>
      <c r="O122" s="80">
        <f>1-(Table95[[#This Row],[NbP]]+Table95[[#This Row],[NbP2]])</f>
        <v>0.31537389688806317</v>
      </c>
    </row>
    <row r="123" spans="1:15" ht="20">
      <c r="A123" s="78" t="s">
        <v>819</v>
      </c>
      <c r="B123" s="78" t="s">
        <v>2888</v>
      </c>
      <c r="C123" s="78" t="s">
        <v>2889</v>
      </c>
      <c r="D123" s="78" t="s">
        <v>297</v>
      </c>
      <c r="E123" s="78">
        <v>2</v>
      </c>
      <c r="F123" s="78">
        <f>Table94[[#This Row],[SFY 2020]]/C258</f>
        <v>1.7853954650955185E-4</v>
      </c>
      <c r="H123" s="16" t="s">
        <v>801</v>
      </c>
      <c r="I123" s="17">
        <v>2827</v>
      </c>
      <c r="J123" s="80">
        <f>Table95[[#This Row],[BIDEN VOTES]]/C258</f>
        <v>0.25236564899125158</v>
      </c>
      <c r="K123" s="18">
        <v>0.55600000000000005</v>
      </c>
      <c r="L123" s="17">
        <v>2219</v>
      </c>
      <c r="M123" s="80">
        <f>Table95[[#This Row],[TRUMP VOTES]]/C258</f>
        <v>0.19808962685234779</v>
      </c>
      <c r="N123" s="18">
        <v>0.437</v>
      </c>
      <c r="O123" s="80">
        <f>1-(Table95[[#This Row],[NbP]]+Table95[[#This Row],[NbP2]])</f>
        <v>0.54954472415640065</v>
      </c>
    </row>
    <row r="124" spans="1:15" ht="20">
      <c r="A124" s="78" t="s">
        <v>2966</v>
      </c>
      <c r="B124" s="78" t="s">
        <v>2888</v>
      </c>
      <c r="C124" s="78" t="s">
        <v>2889</v>
      </c>
      <c r="D124" s="78" t="s">
        <v>297</v>
      </c>
      <c r="E124" s="78">
        <v>89</v>
      </c>
      <c r="F124" s="78">
        <f>Table94[[#This Row],[SFY 2020]]/C259</f>
        <v>2.1601417441324241E-3</v>
      </c>
      <c r="H124" s="16" t="s">
        <v>3014</v>
      </c>
      <c r="I124" s="17">
        <v>3205</v>
      </c>
      <c r="J124" s="80">
        <f>Table95[[#This Row],[BIDEN VOTES]]/C259</f>
        <v>7.7789374044319307E-2</v>
      </c>
      <c r="K124" s="18">
        <v>0.159</v>
      </c>
      <c r="L124" s="17">
        <v>16731</v>
      </c>
      <c r="M124" s="80">
        <f>Table95[[#This Row],[TRUMP VOTES]]/C259</f>
        <v>0.40608237664134367</v>
      </c>
      <c r="N124" s="18">
        <v>0.83299999999999996</v>
      </c>
      <c r="O124" s="80">
        <f>1-(Table95[[#This Row],[NbP]]+Table95[[#This Row],[NbP2]])</f>
        <v>0.5161282493143371</v>
      </c>
    </row>
    <row r="125" spans="1:15" ht="20">
      <c r="A125" s="78" t="s">
        <v>2967</v>
      </c>
      <c r="B125" s="78" t="s">
        <v>2888</v>
      </c>
      <c r="C125" s="78" t="s">
        <v>2889</v>
      </c>
      <c r="D125" s="78" t="s">
        <v>297</v>
      </c>
      <c r="E125" s="78">
        <v>0</v>
      </c>
      <c r="F125" s="78">
        <f>Table94[[#This Row],[SFY 2020]]/C260</f>
        <v>0</v>
      </c>
      <c r="H125" s="16" t="s">
        <v>3049</v>
      </c>
      <c r="I125" s="17">
        <v>117393</v>
      </c>
      <c r="J125" s="80">
        <f>Table95[[#This Row],[BIDEN VOTES]]/C260</f>
        <v>0.26036302181058457</v>
      </c>
      <c r="K125" s="18">
        <v>0.51800000000000002</v>
      </c>
      <c r="L125" s="17">
        <v>105087</v>
      </c>
      <c r="M125" s="80">
        <f>Table95[[#This Row],[TRUMP VOTES]]/C260</f>
        <v>0.23306984976113485</v>
      </c>
      <c r="N125" s="18">
        <v>0.46400000000000002</v>
      </c>
      <c r="O125" s="80">
        <f>1-(Table95[[#This Row],[NbP]]+Table95[[#This Row],[NbP2]])</f>
        <v>0.50656712842828056</v>
      </c>
    </row>
    <row r="126" spans="1:15" ht="20">
      <c r="A126" s="78" t="s">
        <v>159</v>
      </c>
      <c r="B126" s="78" t="s">
        <v>2888</v>
      </c>
      <c r="C126" s="78" t="s">
        <v>2889</v>
      </c>
      <c r="D126" s="78" t="s">
        <v>297</v>
      </c>
      <c r="E126" s="78">
        <v>27</v>
      </c>
      <c r="F126" s="78">
        <f>Table94[[#This Row],[SFY 2020]]/C261</f>
        <v>6.7689530685920575E-4</v>
      </c>
      <c r="H126" s="16" t="s">
        <v>257</v>
      </c>
      <c r="I126" s="17">
        <v>6603</v>
      </c>
      <c r="J126" s="80">
        <f>Table95[[#This Row],[BIDEN VOTES]]/C261</f>
        <v>0.16553850782190133</v>
      </c>
      <c r="K126" s="18">
        <v>0.314</v>
      </c>
      <c r="L126" s="17">
        <v>14069</v>
      </c>
      <c r="M126" s="80">
        <f>Table95[[#This Row],[TRUMP VOTES]]/C261</f>
        <v>0.35271259526674686</v>
      </c>
      <c r="N126" s="18">
        <v>0.66900000000000004</v>
      </c>
      <c r="O126" s="80">
        <f>1-(Table95[[#This Row],[NbP]]+Table95[[#This Row],[NbP2]])</f>
        <v>0.48174889691135181</v>
      </c>
    </row>
    <row r="127" spans="1:15" ht="20">
      <c r="A127" s="78" t="s">
        <v>38</v>
      </c>
      <c r="B127" s="78" t="s">
        <v>2888</v>
      </c>
      <c r="C127" s="78" t="s">
        <v>2889</v>
      </c>
      <c r="D127" s="78" t="s">
        <v>297</v>
      </c>
      <c r="E127" s="78">
        <v>78</v>
      </c>
      <c r="F127" s="78">
        <f>Table94[[#This Row],[SFY 2020]]/C262</f>
        <v>1.4443107119711139E-3</v>
      </c>
      <c r="H127" s="16" t="s">
        <v>258</v>
      </c>
      <c r="I127" s="17">
        <v>6617</v>
      </c>
      <c r="J127" s="80">
        <f>Table95[[#This Row],[BIDEN VOTES]]/C262</f>
        <v>0.12252569206554949</v>
      </c>
      <c r="K127" s="18">
        <v>0.23100000000000001</v>
      </c>
      <c r="L127" s="17">
        <v>21679</v>
      </c>
      <c r="M127" s="80">
        <f>Table95[[#This Row],[TRUMP VOTES]]/C262</f>
        <v>0.40142579390797151</v>
      </c>
      <c r="N127" s="18">
        <v>0.75800000000000001</v>
      </c>
      <c r="O127" s="80">
        <f>1-(Table95[[#This Row],[NbP]]+Table95[[#This Row],[NbP2]])</f>
        <v>0.47604851402647896</v>
      </c>
    </row>
    <row r="128" spans="1:15" ht="20">
      <c r="A128" s="78" t="s">
        <v>2968</v>
      </c>
      <c r="B128" s="78" t="s">
        <v>2888</v>
      </c>
      <c r="C128" s="78" t="s">
        <v>2889</v>
      </c>
      <c r="D128" s="78" t="s">
        <v>297</v>
      </c>
      <c r="E128" s="78">
        <v>29</v>
      </c>
      <c r="F128" s="78">
        <f>Table94[[#This Row],[SFY 2020]]/C263</f>
        <v>1.3004484304932735E-3</v>
      </c>
      <c r="H128" s="16" t="s">
        <v>3050</v>
      </c>
      <c r="I128" s="17">
        <v>4961</v>
      </c>
      <c r="J128" s="80">
        <f>Table95[[#This Row],[BIDEN VOTES]]/C263</f>
        <v>0.22246636771300449</v>
      </c>
      <c r="K128" s="18">
        <v>0.46500000000000002</v>
      </c>
      <c r="L128" s="17">
        <v>5507</v>
      </c>
      <c r="M128" s="80">
        <f>Table95[[#This Row],[TRUMP VOTES]]/C263</f>
        <v>0.24695067264573992</v>
      </c>
      <c r="N128" s="18">
        <v>0.51600000000000001</v>
      </c>
      <c r="O128" s="80">
        <f>1-(Table95[[#This Row],[NbP]]+Table95[[#This Row],[NbP2]])</f>
        <v>0.53058295964125557</v>
      </c>
    </row>
    <row r="129" spans="1:15" ht="20">
      <c r="A129" s="78" t="s">
        <v>2969</v>
      </c>
      <c r="B129" s="78" t="s">
        <v>2888</v>
      </c>
      <c r="C129" s="78" t="s">
        <v>2889</v>
      </c>
      <c r="D129" s="78" t="s">
        <v>297</v>
      </c>
      <c r="E129" s="78">
        <v>7</v>
      </c>
      <c r="F129" s="78">
        <f>Table94[[#This Row],[SFY 2020]]/C264</f>
        <v>3.9165221283500254E-4</v>
      </c>
      <c r="H129" s="16" t="s">
        <v>2793</v>
      </c>
      <c r="I129" s="17">
        <v>4501</v>
      </c>
      <c r="J129" s="80">
        <f>Table95[[#This Row],[BIDEN VOTES]]/C264</f>
        <v>0.25183237285290661</v>
      </c>
      <c r="K129" s="18">
        <v>0.45400000000000001</v>
      </c>
      <c r="L129" s="17">
        <v>5318</v>
      </c>
      <c r="M129" s="80">
        <f>Table95[[#This Row],[TRUMP VOTES]]/C264</f>
        <v>0.29754378112236335</v>
      </c>
      <c r="N129" s="18">
        <v>0.53700000000000003</v>
      </c>
      <c r="O129" s="80">
        <f>1-(Table95[[#This Row],[NbP]]+Table95[[#This Row],[NbP2]])</f>
        <v>0.45062384602473005</v>
      </c>
    </row>
    <row r="130" spans="1:15" ht="20">
      <c r="A130" s="78" t="s">
        <v>2821</v>
      </c>
      <c r="B130" s="78" t="s">
        <v>2888</v>
      </c>
      <c r="C130" s="78" t="s">
        <v>2889</v>
      </c>
      <c r="D130" s="78" t="s">
        <v>297</v>
      </c>
      <c r="E130" s="78">
        <v>14</v>
      </c>
      <c r="F130" s="78">
        <f>Table94[[#This Row],[SFY 2020]]/C265</f>
        <v>9.3122256219236395E-4</v>
      </c>
      <c r="H130" s="16" t="s">
        <v>3051</v>
      </c>
      <c r="I130" s="17">
        <v>4790</v>
      </c>
      <c r="J130" s="80">
        <f>Table95[[#This Row],[BIDEN VOTES]]/C265</f>
        <v>0.31861114806438739</v>
      </c>
      <c r="K130" s="18">
        <v>0.7</v>
      </c>
      <c r="L130" s="17">
        <v>1963</v>
      </c>
      <c r="M130" s="80">
        <f>Table95[[#This Row],[TRUMP VOTES]]/C265</f>
        <v>0.13057070639882931</v>
      </c>
      <c r="N130" s="18">
        <v>0.28699999999999998</v>
      </c>
      <c r="O130" s="80">
        <f>1-(Table95[[#This Row],[NbP]]+Table95[[#This Row],[NbP2]])</f>
        <v>0.55081814553678332</v>
      </c>
    </row>
    <row r="131" spans="1:15" ht="20">
      <c r="A131" s="78" t="s">
        <v>2970</v>
      </c>
      <c r="B131" s="78" t="s">
        <v>2888</v>
      </c>
      <c r="C131" s="78" t="s">
        <v>2889</v>
      </c>
      <c r="D131" s="78" t="s">
        <v>297</v>
      </c>
      <c r="E131" s="78">
        <v>60</v>
      </c>
      <c r="F131" s="78">
        <f>Table94[[#This Row],[SFY 2020]]/C266</f>
        <v>2.1496130696474634E-3</v>
      </c>
      <c r="H131" s="16" t="s">
        <v>3052</v>
      </c>
      <c r="I131" s="17">
        <v>6610</v>
      </c>
      <c r="J131" s="80">
        <f>Table95[[#This Row],[BIDEN VOTES]]/C266</f>
        <v>0.23681570650616224</v>
      </c>
      <c r="K131" s="18">
        <v>0.54900000000000004</v>
      </c>
      <c r="L131" s="17">
        <v>5221</v>
      </c>
      <c r="M131" s="80">
        <f>Table95[[#This Row],[TRUMP VOTES]]/C266</f>
        <v>0.18705216394382346</v>
      </c>
      <c r="N131" s="18">
        <v>0.433</v>
      </c>
      <c r="O131" s="80">
        <f>1-(Table95[[#This Row],[NbP]]+Table95[[#This Row],[NbP2]])</f>
        <v>0.57613212955001436</v>
      </c>
    </row>
    <row r="132" spans="1:15" ht="20">
      <c r="A132" s="78" t="s">
        <v>779</v>
      </c>
      <c r="B132" s="78" t="s">
        <v>2888</v>
      </c>
      <c r="C132" s="78" t="s">
        <v>2889</v>
      </c>
      <c r="D132" s="78" t="s">
        <v>297</v>
      </c>
      <c r="E132" s="78">
        <v>68</v>
      </c>
      <c r="F132" s="78">
        <f>Table94[[#This Row],[SFY 2020]]/C267</f>
        <v>1.7879680269246949E-3</v>
      </c>
      <c r="H132" s="16" t="s">
        <v>550</v>
      </c>
      <c r="I132" s="17">
        <v>3110</v>
      </c>
      <c r="J132" s="80">
        <f>Table95[[#This Row],[BIDEN VOTES]]/C267</f>
        <v>8.1773243584350022E-2</v>
      </c>
      <c r="K132" s="18">
        <v>0.188</v>
      </c>
      <c r="L132" s="17">
        <v>13366</v>
      </c>
      <c r="M132" s="80">
        <f>Table95[[#This Row],[TRUMP VOTES]]/C267</f>
        <v>0.35144089188052169</v>
      </c>
      <c r="N132" s="18">
        <v>0.80600000000000005</v>
      </c>
      <c r="O132" s="80">
        <f>1-(Table95[[#This Row],[NbP]]+Table95[[#This Row],[NbP2]])</f>
        <v>0.56678586453512825</v>
      </c>
    </row>
    <row r="133" spans="1:15" ht="20">
      <c r="A133" s="78" t="s">
        <v>2971</v>
      </c>
      <c r="B133" s="78" t="s">
        <v>2888</v>
      </c>
      <c r="C133" s="78" t="s">
        <v>2889</v>
      </c>
      <c r="D133" s="78" t="s">
        <v>297</v>
      </c>
      <c r="E133" s="78">
        <v>68</v>
      </c>
      <c r="F133" s="78">
        <f>Table94[[#This Row],[SFY 2020]]/C268</f>
        <v>2.3672758920800698E-3</v>
      </c>
      <c r="H133" s="16" t="s">
        <v>3015</v>
      </c>
      <c r="I133" s="17">
        <v>3143</v>
      </c>
      <c r="J133" s="80">
        <f>Table95[[#This Row],[BIDEN VOTES]]/C268</f>
        <v>0.10941688424717146</v>
      </c>
      <c r="K133" s="18">
        <v>0.20899999999999999</v>
      </c>
      <c r="L133" s="17">
        <v>11733</v>
      </c>
      <c r="M133" s="80">
        <f>Table95[[#This Row],[TRUMP VOTES]]/C268</f>
        <v>0.40845953002610969</v>
      </c>
      <c r="N133" s="18">
        <v>0.78</v>
      </c>
      <c r="O133" s="80">
        <f>1-(Table95[[#This Row],[NbP]]+Table95[[#This Row],[NbP2]])</f>
        <v>0.48212358572671887</v>
      </c>
    </row>
    <row r="134" spans="1:15" ht="20">
      <c r="A134" s="78" t="s">
        <v>1701</v>
      </c>
      <c r="B134" s="78" t="s">
        <v>2888</v>
      </c>
      <c r="C134" s="78" t="s">
        <v>2889</v>
      </c>
      <c r="D134" s="78" t="s">
        <v>297</v>
      </c>
      <c r="E134" s="78">
        <v>27</v>
      </c>
      <c r="F134" s="78">
        <f>Table94[[#This Row],[SFY 2020]]/C269</f>
        <v>3.948003333869482E-4</v>
      </c>
      <c r="H134" s="16" t="s">
        <v>1703</v>
      </c>
      <c r="I134" s="17">
        <v>17683</v>
      </c>
      <c r="J134" s="80">
        <f>Table95[[#This Row],[BIDEN VOTES]]/C269</f>
        <v>0.25856497389931127</v>
      </c>
      <c r="K134" s="18">
        <v>0.45800000000000002</v>
      </c>
      <c r="L134" s="17">
        <v>20241</v>
      </c>
      <c r="M134" s="80">
        <f>Table95[[#This Row],[TRUMP VOTES]]/C269</f>
        <v>0.29596864992908217</v>
      </c>
      <c r="N134" s="18">
        <v>0.52400000000000002</v>
      </c>
      <c r="O134" s="80">
        <f>1-(Table95[[#This Row],[NbP]]+Table95[[#This Row],[NbP2]])</f>
        <v>0.44546637617160656</v>
      </c>
    </row>
    <row r="136" spans="1:15" ht="21">
      <c r="A136" s="77" t="s">
        <v>1670</v>
      </c>
      <c r="B136" s="77" t="s">
        <v>69</v>
      </c>
      <c r="C136" s="77" t="s">
        <v>54</v>
      </c>
    </row>
    <row r="137" spans="1:15" ht="21">
      <c r="A137" s="52">
        <v>53</v>
      </c>
      <c r="B137" s="53" t="s">
        <v>2972</v>
      </c>
      <c r="C137" s="54">
        <v>32560</v>
      </c>
    </row>
    <row r="138" spans="1:15" ht="21">
      <c r="A138" s="52">
        <v>16</v>
      </c>
      <c r="B138" s="53" t="s">
        <v>2973</v>
      </c>
      <c r="C138" s="54">
        <v>108819</v>
      </c>
    </row>
    <row r="139" spans="1:15" ht="21">
      <c r="A139" s="52">
        <v>12</v>
      </c>
      <c r="B139" s="53" t="s">
        <v>3061</v>
      </c>
      <c r="C139" s="54">
        <v>158309</v>
      </c>
    </row>
    <row r="140" spans="1:15" ht="21">
      <c r="A140" s="52">
        <v>98</v>
      </c>
      <c r="B140" s="53" t="s">
        <v>2454</v>
      </c>
      <c r="C140" s="54">
        <v>15030</v>
      </c>
    </row>
    <row r="141" spans="1:15" ht="21">
      <c r="A141" s="52">
        <v>104</v>
      </c>
      <c r="B141" s="52" t="s">
        <v>2974</v>
      </c>
      <c r="C141" s="54">
        <v>12970</v>
      </c>
    </row>
    <row r="142" spans="1:15" ht="21">
      <c r="A142" s="52">
        <v>54</v>
      </c>
      <c r="B142" s="53" t="s">
        <v>2975</v>
      </c>
      <c r="C142" s="54">
        <v>31782</v>
      </c>
    </row>
    <row r="143" spans="1:15" ht="21">
      <c r="A143" s="52">
        <v>93</v>
      </c>
      <c r="B143" s="53" t="s">
        <v>2976</v>
      </c>
      <c r="C143" s="54">
        <v>15814</v>
      </c>
    </row>
    <row r="144" spans="1:15" ht="21">
      <c r="A144" s="52">
        <v>9</v>
      </c>
      <c r="B144" s="53" t="s">
        <v>2977</v>
      </c>
      <c r="C144" s="54">
        <v>236434</v>
      </c>
    </row>
    <row r="145" spans="1:3" ht="21">
      <c r="A145" s="52">
        <v>28</v>
      </c>
      <c r="B145" s="53" t="s">
        <v>2978</v>
      </c>
      <c r="C145" s="54">
        <v>75754</v>
      </c>
    </row>
    <row r="146" spans="1:3" ht="21">
      <c r="A146" s="52">
        <v>131</v>
      </c>
      <c r="B146" s="52" t="s">
        <v>1625</v>
      </c>
      <c r="C146" s="54">
        <v>4248</v>
      </c>
    </row>
    <row r="147" spans="1:3" ht="21">
      <c r="A147" s="52">
        <v>26</v>
      </c>
      <c r="B147" s="53" t="s">
        <v>171</v>
      </c>
      <c r="C147" s="54">
        <v>78965</v>
      </c>
    </row>
    <row r="148" spans="1:3" ht="21">
      <c r="A148" s="52">
        <v>127</v>
      </c>
      <c r="B148" s="52" t="s">
        <v>2979</v>
      </c>
      <c r="C148" s="54">
        <v>6334</v>
      </c>
    </row>
    <row r="149" spans="1:3" ht="21">
      <c r="A149" s="52">
        <v>52</v>
      </c>
      <c r="B149" s="53" t="s">
        <v>2980</v>
      </c>
      <c r="C149" s="54">
        <v>33440</v>
      </c>
    </row>
    <row r="150" spans="1:3" ht="21">
      <c r="A150" s="52">
        <v>89</v>
      </c>
      <c r="B150" s="53" t="s">
        <v>3082</v>
      </c>
      <c r="C150" s="54">
        <v>17059</v>
      </c>
    </row>
    <row r="151" spans="1:3" ht="21">
      <c r="A151" s="52">
        <v>92</v>
      </c>
      <c r="B151" s="53" t="s">
        <v>2461</v>
      </c>
      <c r="C151" s="54">
        <v>16336</v>
      </c>
    </row>
    <row r="152" spans="1:3" ht="21">
      <c r="A152" s="52">
        <v>80</v>
      </c>
      <c r="B152" s="53" t="s">
        <v>1537</v>
      </c>
      <c r="C152" s="54">
        <v>21374</v>
      </c>
    </row>
    <row r="153" spans="1:3" ht="21">
      <c r="A153" s="52">
        <v>88</v>
      </c>
      <c r="B153" s="53" t="s">
        <v>2981</v>
      </c>
      <c r="C153" s="54">
        <v>17087</v>
      </c>
    </row>
    <row r="154" spans="1:3" ht="21">
      <c r="A154" s="52">
        <v>124</v>
      </c>
      <c r="B154" s="52" t="s">
        <v>3089</v>
      </c>
      <c r="C154" s="54">
        <v>6477</v>
      </c>
    </row>
    <row r="155" spans="1:3" ht="21">
      <c r="A155" s="52">
        <v>33</v>
      </c>
      <c r="B155" s="53" t="s">
        <v>176</v>
      </c>
      <c r="C155" s="54">
        <v>55406</v>
      </c>
    </row>
    <row r="156" spans="1:3" ht="21">
      <c r="A156" s="52">
        <v>57</v>
      </c>
      <c r="B156" s="53" t="s">
        <v>1743</v>
      </c>
      <c r="C156" s="54">
        <v>30581</v>
      </c>
    </row>
    <row r="157" spans="1:3" ht="21">
      <c r="A157" s="52">
        <v>59</v>
      </c>
      <c r="B157" s="53" t="s">
        <v>178</v>
      </c>
      <c r="C157" s="54">
        <v>29911</v>
      </c>
    </row>
    <row r="158" spans="1:3" ht="21">
      <c r="A158" s="52">
        <v>123</v>
      </c>
      <c r="B158" s="52" t="s">
        <v>2982</v>
      </c>
      <c r="C158" s="54">
        <v>6965</v>
      </c>
    </row>
    <row r="159" spans="1:3" ht="21">
      <c r="A159" s="52">
        <v>109</v>
      </c>
      <c r="B159" s="52" t="s">
        <v>2983</v>
      </c>
      <c r="C159" s="54">
        <v>11953</v>
      </c>
    </row>
    <row r="160" spans="1:3" ht="21">
      <c r="A160" s="52">
        <v>38</v>
      </c>
      <c r="B160" s="53" t="s">
        <v>3068</v>
      </c>
      <c r="C160" s="54">
        <v>47217</v>
      </c>
    </row>
    <row r="161" spans="1:3" ht="21">
      <c r="A161" s="52">
        <v>8</v>
      </c>
      <c r="B161" s="53" t="s">
        <v>3058</v>
      </c>
      <c r="C161" s="54">
        <v>242647</v>
      </c>
    </row>
    <row r="162" spans="1:3" ht="21">
      <c r="A162" s="52">
        <v>5</v>
      </c>
      <c r="B162" s="53" t="s">
        <v>2828</v>
      </c>
      <c r="C162" s="54">
        <v>348500</v>
      </c>
    </row>
    <row r="163" spans="1:3" ht="21">
      <c r="A163" s="52">
        <v>101</v>
      </c>
      <c r="B163" s="52" t="s">
        <v>929</v>
      </c>
      <c r="C163" s="54">
        <v>14498</v>
      </c>
    </row>
    <row r="164" spans="1:3" ht="21">
      <c r="A164" s="52">
        <v>87</v>
      </c>
      <c r="B164" s="53" t="s">
        <v>3081</v>
      </c>
      <c r="C164" s="54">
        <v>17283</v>
      </c>
    </row>
    <row r="165" spans="1:3" ht="21">
      <c r="A165" s="52">
        <v>128</v>
      </c>
      <c r="B165" s="52" t="s">
        <v>3091</v>
      </c>
      <c r="C165" s="54">
        <v>5653</v>
      </c>
    </row>
    <row r="166" spans="1:3" ht="21">
      <c r="A166" s="52">
        <v>130</v>
      </c>
      <c r="B166" s="52" t="s">
        <v>2658</v>
      </c>
      <c r="C166" s="54">
        <v>5103</v>
      </c>
    </row>
    <row r="167" spans="1:3" ht="21">
      <c r="A167" s="52">
        <v>36</v>
      </c>
      <c r="B167" s="53" t="s">
        <v>2984</v>
      </c>
      <c r="C167" s="54">
        <v>51935</v>
      </c>
    </row>
    <row r="168" spans="1:3" ht="21">
      <c r="A168" s="52">
        <v>116</v>
      </c>
      <c r="B168" s="52" t="s">
        <v>187</v>
      </c>
      <c r="C168" s="54">
        <v>9869</v>
      </c>
    </row>
    <row r="169" spans="1:3" ht="21">
      <c r="A169" s="52">
        <v>42</v>
      </c>
      <c r="B169" s="53" t="s">
        <v>3070</v>
      </c>
      <c r="C169" s="54">
        <v>40668</v>
      </c>
    </row>
    <row r="170" spans="1:3" ht="21">
      <c r="A170" s="52">
        <v>100</v>
      </c>
      <c r="B170" s="53" t="s">
        <v>2985</v>
      </c>
      <c r="C170" s="54">
        <v>14524</v>
      </c>
    </row>
    <row r="171" spans="1:3" ht="21">
      <c r="A171" s="52">
        <v>63</v>
      </c>
      <c r="B171" s="53" t="s">
        <v>2986</v>
      </c>
      <c r="C171" s="54">
        <v>28686</v>
      </c>
    </row>
    <row r="172" spans="1:3" ht="21">
      <c r="A172" s="52">
        <v>129</v>
      </c>
      <c r="B172" s="52" t="s">
        <v>3092</v>
      </c>
      <c r="C172" s="54">
        <v>5408</v>
      </c>
    </row>
    <row r="173" spans="1:3" ht="21">
      <c r="A173" s="52">
        <v>113</v>
      </c>
      <c r="B173" s="52" t="s">
        <v>790</v>
      </c>
      <c r="C173" s="54">
        <v>10960</v>
      </c>
    </row>
    <row r="174" spans="1:3" ht="21">
      <c r="A174" s="52">
        <v>73</v>
      </c>
      <c r="B174" s="53" t="s">
        <v>3076</v>
      </c>
      <c r="C174" s="54">
        <v>23312</v>
      </c>
    </row>
    <row r="175" spans="1:3" ht="21">
      <c r="A175" s="52">
        <v>1</v>
      </c>
      <c r="B175" s="53" t="s">
        <v>2913</v>
      </c>
      <c r="C175" s="54">
        <v>1149439</v>
      </c>
    </row>
    <row r="176" spans="1:3" ht="21">
      <c r="A176" s="52">
        <v>102</v>
      </c>
      <c r="B176" s="52" t="s">
        <v>3084</v>
      </c>
      <c r="C176" s="54">
        <v>14309</v>
      </c>
    </row>
    <row r="177" spans="1:3" ht="21">
      <c r="A177" s="52">
        <v>29</v>
      </c>
      <c r="B177" s="53" t="s">
        <v>2987</v>
      </c>
      <c r="C177" s="54">
        <v>70353</v>
      </c>
    </row>
    <row r="178" spans="1:3" ht="21">
      <c r="A178" s="52">
        <v>94</v>
      </c>
      <c r="B178" s="53" t="s">
        <v>403</v>
      </c>
      <c r="C178" s="54">
        <v>15766</v>
      </c>
    </row>
    <row r="179" spans="1:3" ht="21">
      <c r="A179" s="52">
        <v>66</v>
      </c>
      <c r="B179" s="53" t="s">
        <v>2988</v>
      </c>
      <c r="C179" s="54">
        <v>26873</v>
      </c>
    </row>
    <row r="180" spans="1:3" ht="21">
      <c r="A180" s="52">
        <v>119</v>
      </c>
      <c r="B180" s="52" t="s">
        <v>3087</v>
      </c>
      <c r="C180" s="54">
        <v>8015</v>
      </c>
    </row>
    <row r="181" spans="1:3" ht="21">
      <c r="A181" s="52">
        <v>32</v>
      </c>
      <c r="B181" s="53" t="s">
        <v>195</v>
      </c>
      <c r="C181" s="54">
        <v>56231</v>
      </c>
    </row>
    <row r="182" spans="1:3" ht="21">
      <c r="A182" s="52">
        <v>23</v>
      </c>
      <c r="B182" s="53" t="s">
        <v>1733</v>
      </c>
      <c r="C182" s="54">
        <v>88054</v>
      </c>
    </row>
    <row r="183" spans="1:3" ht="21">
      <c r="A183" s="52">
        <v>61</v>
      </c>
      <c r="B183" s="53" t="s">
        <v>3072</v>
      </c>
      <c r="C183" s="54">
        <v>29059</v>
      </c>
    </row>
    <row r="184" spans="1:3" ht="21">
      <c r="A184" s="52">
        <v>126</v>
      </c>
      <c r="B184" s="52" t="s">
        <v>3090</v>
      </c>
      <c r="C184" s="54">
        <v>6402</v>
      </c>
    </row>
    <row r="185" spans="1:3" ht="21">
      <c r="A185" s="52">
        <v>91</v>
      </c>
      <c r="B185" s="53" t="s">
        <v>197</v>
      </c>
      <c r="C185" s="54">
        <v>16760</v>
      </c>
    </row>
    <row r="186" spans="1:3" ht="21">
      <c r="A186" s="52">
        <v>46</v>
      </c>
      <c r="B186" s="53" t="s">
        <v>791</v>
      </c>
      <c r="C186" s="54">
        <v>37362</v>
      </c>
    </row>
    <row r="187" spans="1:3" ht="21">
      <c r="A187" s="52">
        <v>72</v>
      </c>
      <c r="B187" s="53" t="s">
        <v>2989</v>
      </c>
      <c r="C187" s="54">
        <v>23472</v>
      </c>
    </row>
    <row r="188" spans="1:3" ht="21">
      <c r="A188" s="52">
        <v>95</v>
      </c>
      <c r="B188" s="53" t="s">
        <v>416</v>
      </c>
      <c r="C188" s="54">
        <v>15651</v>
      </c>
    </row>
    <row r="189" spans="1:3" ht="21">
      <c r="A189" s="52">
        <v>81</v>
      </c>
      <c r="B189" s="53" t="s">
        <v>199</v>
      </c>
      <c r="C189" s="54">
        <v>19734</v>
      </c>
    </row>
    <row r="190" spans="1:3" ht="21">
      <c r="A190" s="52">
        <v>111</v>
      </c>
      <c r="B190" s="52" t="s">
        <v>2990</v>
      </c>
      <c r="C190" s="54">
        <v>11403</v>
      </c>
    </row>
    <row r="191" spans="1:3" ht="21">
      <c r="A191" s="52">
        <v>50</v>
      </c>
      <c r="B191" s="53" t="s">
        <v>2481</v>
      </c>
      <c r="C191" s="54">
        <v>34295</v>
      </c>
    </row>
    <row r="192" spans="1:3" ht="21">
      <c r="A192" s="52">
        <v>14</v>
      </c>
      <c r="B192" s="53" t="s">
        <v>3062</v>
      </c>
      <c r="C192" s="54">
        <v>135169</v>
      </c>
    </row>
    <row r="193" spans="1:3" ht="21">
      <c r="A193" s="52">
        <v>17</v>
      </c>
      <c r="B193" s="53" t="s">
        <v>2991</v>
      </c>
      <c r="C193" s="54">
        <v>106538</v>
      </c>
    </row>
    <row r="194" spans="1:3" ht="21">
      <c r="A194" s="52">
        <v>35</v>
      </c>
      <c r="B194" s="53" t="s">
        <v>3067</v>
      </c>
      <c r="C194" s="54">
        <v>53558</v>
      </c>
    </row>
    <row r="195" spans="1:3" ht="21">
      <c r="A195" s="52">
        <v>6</v>
      </c>
      <c r="B195" s="53" t="s">
        <v>2992</v>
      </c>
      <c r="C195" s="54">
        <v>330076</v>
      </c>
    </row>
    <row r="196" spans="1:3" ht="21">
      <c r="A196" s="52">
        <v>37</v>
      </c>
      <c r="B196" s="53" t="s">
        <v>209</v>
      </c>
      <c r="C196" s="54">
        <v>51032</v>
      </c>
    </row>
    <row r="197" spans="1:3" ht="21">
      <c r="A197" s="52">
        <v>133</v>
      </c>
      <c r="B197" s="52" t="s">
        <v>2632</v>
      </c>
      <c r="C197" s="54">
        <v>2202</v>
      </c>
    </row>
    <row r="198" spans="1:3" ht="21">
      <c r="A198" s="52">
        <v>76</v>
      </c>
      <c r="B198" s="53" t="s">
        <v>3077</v>
      </c>
      <c r="C198" s="54">
        <v>22500</v>
      </c>
    </row>
    <row r="199" spans="1:3" ht="21">
      <c r="A199" s="52">
        <v>47</v>
      </c>
      <c r="B199" s="53" t="s">
        <v>2993</v>
      </c>
      <c r="C199" s="54">
        <v>37107</v>
      </c>
    </row>
    <row r="200" spans="1:3" ht="21">
      <c r="A200" s="52">
        <v>27</v>
      </c>
      <c r="B200" s="53" t="s">
        <v>2994</v>
      </c>
      <c r="C200" s="54">
        <v>76032</v>
      </c>
    </row>
    <row r="201" spans="1:3" ht="21">
      <c r="A201" s="52">
        <v>122</v>
      </c>
      <c r="B201" s="52" t="s">
        <v>2995</v>
      </c>
      <c r="C201" s="54">
        <v>7011</v>
      </c>
    </row>
    <row r="202" spans="1:3" ht="21">
      <c r="A202" s="52">
        <v>67</v>
      </c>
      <c r="B202" s="53" t="s">
        <v>2996</v>
      </c>
      <c r="C202" s="54">
        <v>26679</v>
      </c>
    </row>
    <row r="203" spans="1:3" ht="21">
      <c r="A203" s="52">
        <v>90</v>
      </c>
      <c r="B203" s="53" t="s">
        <v>2997</v>
      </c>
      <c r="C203" s="54">
        <v>16985</v>
      </c>
    </row>
    <row r="204" spans="1:3" ht="21">
      <c r="A204" s="52">
        <v>114</v>
      </c>
      <c r="B204" s="52" t="s">
        <v>2252</v>
      </c>
      <c r="C204" s="54">
        <v>10686</v>
      </c>
    </row>
    <row r="205" spans="1:3" ht="21">
      <c r="A205" s="52">
        <v>71</v>
      </c>
      <c r="B205" s="53" t="s">
        <v>459</v>
      </c>
      <c r="C205" s="54">
        <v>23723</v>
      </c>
    </row>
    <row r="206" spans="1:3" ht="21">
      <c r="A206" s="52">
        <v>121</v>
      </c>
      <c r="B206" s="52" t="s">
        <v>3088</v>
      </c>
      <c r="C206" s="54">
        <v>7205</v>
      </c>
    </row>
    <row r="207" spans="1:3" ht="21">
      <c r="A207" s="52">
        <v>4</v>
      </c>
      <c r="B207" s="53" t="s">
        <v>2998</v>
      </c>
      <c r="C207" s="54">
        <v>405312</v>
      </c>
    </row>
    <row r="208" spans="1:3" ht="21">
      <c r="A208" s="52">
        <v>48</v>
      </c>
      <c r="B208" s="53" t="s">
        <v>1552</v>
      </c>
      <c r="C208" s="54">
        <v>36654</v>
      </c>
    </row>
    <row r="209" spans="1:3" ht="21">
      <c r="A209" s="52">
        <v>106</v>
      </c>
      <c r="B209" s="52" t="s">
        <v>2999</v>
      </c>
      <c r="C209" s="54">
        <v>12294</v>
      </c>
    </row>
    <row r="210" spans="1:3" ht="21">
      <c r="A210" s="52">
        <v>25</v>
      </c>
      <c r="B210" s="53" t="s">
        <v>3066</v>
      </c>
      <c r="C210" s="54">
        <v>80970</v>
      </c>
    </row>
    <row r="211" spans="1:3" ht="21">
      <c r="A211" s="52">
        <v>103</v>
      </c>
      <c r="B211" s="52" t="s">
        <v>226</v>
      </c>
      <c r="C211" s="54">
        <v>13208</v>
      </c>
    </row>
    <row r="212" spans="1:3" ht="21">
      <c r="A212" s="52">
        <v>41</v>
      </c>
      <c r="B212" s="53" t="s">
        <v>3069</v>
      </c>
      <c r="C212" s="54">
        <v>41038</v>
      </c>
    </row>
    <row r="213" spans="1:3" ht="21">
      <c r="A213" s="52">
        <v>86</v>
      </c>
      <c r="B213" s="53" t="s">
        <v>3080</v>
      </c>
      <c r="C213" s="54">
        <v>17548</v>
      </c>
    </row>
    <row r="214" spans="1:3" ht="21">
      <c r="A214" s="52">
        <v>105</v>
      </c>
      <c r="B214" s="52" t="s">
        <v>3085</v>
      </c>
      <c r="C214" s="54">
        <v>12646</v>
      </c>
    </row>
    <row r="215" spans="1:3" ht="21">
      <c r="A215" s="52">
        <v>118</v>
      </c>
      <c r="B215" s="52" t="s">
        <v>3000</v>
      </c>
      <c r="C215" s="54">
        <v>8760</v>
      </c>
    </row>
    <row r="216" spans="1:3" ht="21">
      <c r="A216" s="52">
        <v>56</v>
      </c>
      <c r="B216" s="53" t="s">
        <v>2489</v>
      </c>
      <c r="C216" s="54">
        <v>30726</v>
      </c>
    </row>
    <row r="217" spans="1:3" ht="21">
      <c r="A217" s="52">
        <v>115</v>
      </c>
      <c r="B217" s="52" t="s">
        <v>795</v>
      </c>
      <c r="C217" s="54">
        <v>10642</v>
      </c>
    </row>
    <row r="218" spans="1:3" ht="21">
      <c r="A218" s="52">
        <v>19</v>
      </c>
      <c r="B218" s="53" t="s">
        <v>232</v>
      </c>
      <c r="C218" s="54">
        <v>98495</v>
      </c>
    </row>
    <row r="219" spans="1:3" ht="21">
      <c r="A219" s="52">
        <v>99</v>
      </c>
      <c r="B219" s="53" t="s">
        <v>1660</v>
      </c>
      <c r="C219" s="54">
        <v>14812</v>
      </c>
    </row>
    <row r="220" spans="1:3" ht="21">
      <c r="A220" s="52">
        <v>77</v>
      </c>
      <c r="B220" s="53" t="s">
        <v>3001</v>
      </c>
      <c r="C220" s="54">
        <v>22310</v>
      </c>
    </row>
    <row r="221" spans="1:3" ht="21">
      <c r="A221" s="52">
        <v>11</v>
      </c>
      <c r="B221" s="53" t="s">
        <v>3060</v>
      </c>
      <c r="C221" s="54">
        <v>179582</v>
      </c>
    </row>
    <row r="222" spans="1:3" ht="21">
      <c r="A222" s="52">
        <v>7</v>
      </c>
      <c r="B222" s="53" t="s">
        <v>3057</v>
      </c>
      <c r="C222" s="54">
        <v>244300</v>
      </c>
    </row>
    <row r="223" spans="1:3" ht="21">
      <c r="A223" s="52">
        <v>110</v>
      </c>
      <c r="B223" s="52" t="s">
        <v>2492</v>
      </c>
      <c r="C223" s="54">
        <v>11826</v>
      </c>
    </row>
    <row r="224" spans="1:3" ht="21">
      <c r="A224" s="52">
        <v>107</v>
      </c>
      <c r="B224" s="52" t="s">
        <v>2787</v>
      </c>
      <c r="C224" s="54">
        <v>12151</v>
      </c>
    </row>
    <row r="225" spans="1:3" ht="21">
      <c r="A225" s="52">
        <v>132</v>
      </c>
      <c r="B225" s="52" t="s">
        <v>3093</v>
      </c>
      <c r="C225" s="54">
        <v>3969</v>
      </c>
    </row>
    <row r="226" spans="1:3" ht="21">
      <c r="A226" s="52">
        <v>96</v>
      </c>
      <c r="B226" s="53" t="s">
        <v>3002</v>
      </c>
      <c r="C226" s="54">
        <v>15338</v>
      </c>
    </row>
    <row r="227" spans="1:3" ht="21">
      <c r="A227" s="52">
        <v>49</v>
      </c>
      <c r="B227" s="53" t="s">
        <v>491</v>
      </c>
      <c r="C227" s="54">
        <v>36501</v>
      </c>
    </row>
    <row r="228" spans="1:3" ht="21">
      <c r="A228" s="52">
        <v>70</v>
      </c>
      <c r="B228" s="53" t="s">
        <v>1560</v>
      </c>
      <c r="C228" s="54">
        <v>23862</v>
      </c>
    </row>
    <row r="229" spans="1:3" ht="21">
      <c r="A229" s="52">
        <v>85</v>
      </c>
      <c r="B229" s="53" t="s">
        <v>3003</v>
      </c>
      <c r="C229" s="54">
        <v>17660</v>
      </c>
    </row>
    <row r="230" spans="1:3" ht="21">
      <c r="A230" s="52">
        <v>55</v>
      </c>
      <c r="B230" s="53" t="s">
        <v>3071</v>
      </c>
      <c r="C230" s="54">
        <v>30791</v>
      </c>
    </row>
    <row r="231" spans="1:3" ht="21">
      <c r="A231" s="52">
        <v>31</v>
      </c>
      <c r="B231" s="53" t="s">
        <v>3004</v>
      </c>
      <c r="C231" s="54">
        <v>60867</v>
      </c>
    </row>
    <row r="232" spans="1:3" ht="21">
      <c r="A232" s="52">
        <v>108</v>
      </c>
      <c r="B232" s="52" t="s">
        <v>3086</v>
      </c>
      <c r="C232" s="54">
        <v>12121</v>
      </c>
    </row>
    <row r="233" spans="1:3" ht="21">
      <c r="A233" s="52">
        <v>20</v>
      </c>
      <c r="B233" s="53" t="s">
        <v>3064</v>
      </c>
      <c r="C233" s="54">
        <v>94961</v>
      </c>
    </row>
    <row r="234" spans="1:3" ht="21">
      <c r="A234" s="52">
        <v>60</v>
      </c>
      <c r="B234" s="53" t="s">
        <v>3005</v>
      </c>
      <c r="C234" s="54">
        <v>29253</v>
      </c>
    </row>
    <row r="235" spans="1:3" ht="21">
      <c r="A235" s="52">
        <v>74</v>
      </c>
      <c r="B235" s="53" t="s">
        <v>3006</v>
      </c>
      <c r="C235" s="54">
        <v>22892</v>
      </c>
    </row>
    <row r="236" spans="1:3" ht="21">
      <c r="A236" s="52">
        <v>44</v>
      </c>
      <c r="B236" s="53" t="s">
        <v>3007</v>
      </c>
      <c r="C236" s="54">
        <v>38292</v>
      </c>
    </row>
    <row r="237" spans="1:3" ht="21">
      <c r="A237" s="52">
        <v>2</v>
      </c>
      <c r="B237" s="53" t="s">
        <v>3053</v>
      </c>
      <c r="C237" s="54">
        <v>466834</v>
      </c>
    </row>
    <row r="238" spans="1:3" ht="21">
      <c r="A238" s="52">
        <v>51</v>
      </c>
      <c r="B238" s="53" t="s">
        <v>1370</v>
      </c>
      <c r="C238" s="54">
        <v>34113</v>
      </c>
    </row>
    <row r="239" spans="1:3" ht="21">
      <c r="A239" s="52">
        <v>83</v>
      </c>
      <c r="B239" s="53" t="s">
        <v>3079</v>
      </c>
      <c r="C239" s="54">
        <v>17833</v>
      </c>
    </row>
    <row r="240" spans="1:3" ht="21">
      <c r="A240" s="52">
        <v>120</v>
      </c>
      <c r="B240" s="52" t="s">
        <v>3008</v>
      </c>
      <c r="C240" s="54">
        <v>7360</v>
      </c>
    </row>
    <row r="241" spans="1:3" ht="21">
      <c r="A241" s="52">
        <v>10</v>
      </c>
      <c r="B241" s="53" t="s">
        <v>3059</v>
      </c>
      <c r="C241" s="54">
        <v>229233</v>
      </c>
    </row>
    <row r="242" spans="1:3" ht="21">
      <c r="A242" s="52">
        <v>117</v>
      </c>
      <c r="B242" s="52" t="s">
        <v>1373</v>
      </c>
      <c r="C242" s="54">
        <v>8951</v>
      </c>
    </row>
    <row r="243" spans="1:3" ht="21">
      <c r="A243" s="52">
        <v>18</v>
      </c>
      <c r="B243" s="53" t="s">
        <v>3063</v>
      </c>
      <c r="C243" s="54">
        <v>99122</v>
      </c>
    </row>
    <row r="244" spans="1:3" ht="21">
      <c r="A244" s="52">
        <v>21</v>
      </c>
      <c r="B244" s="53" t="s">
        <v>2957</v>
      </c>
      <c r="C244" s="54">
        <v>94103</v>
      </c>
    </row>
    <row r="245" spans="1:3" ht="21">
      <c r="A245" s="52">
        <v>75</v>
      </c>
      <c r="B245" s="53" t="s">
        <v>3009</v>
      </c>
      <c r="C245" s="54">
        <v>22728</v>
      </c>
    </row>
    <row r="246" spans="1:3" ht="21">
      <c r="A246" s="52">
        <v>24</v>
      </c>
      <c r="B246" s="53" t="s">
        <v>2309</v>
      </c>
      <c r="C246" s="54">
        <v>81138</v>
      </c>
    </row>
    <row r="247" spans="1:3" ht="21">
      <c r="A247" s="52">
        <v>65</v>
      </c>
      <c r="B247" s="53" t="s">
        <v>946</v>
      </c>
      <c r="C247" s="54">
        <v>26937</v>
      </c>
    </row>
    <row r="248" spans="1:3" ht="21">
      <c r="A248" s="52">
        <v>68</v>
      </c>
      <c r="B248" s="53" t="s">
        <v>3074</v>
      </c>
      <c r="C248" s="54">
        <v>25290</v>
      </c>
    </row>
    <row r="249" spans="1:3" ht="21">
      <c r="A249" s="52">
        <v>79</v>
      </c>
      <c r="B249" s="53" t="s">
        <v>245</v>
      </c>
      <c r="C249" s="54">
        <v>21761</v>
      </c>
    </row>
    <row r="250" spans="1:3" ht="21">
      <c r="A250" s="52">
        <v>39</v>
      </c>
      <c r="B250" s="53" t="s">
        <v>3010</v>
      </c>
      <c r="C250" s="54">
        <v>43441</v>
      </c>
    </row>
    <row r="251" spans="1:3" ht="21">
      <c r="A251" s="52">
        <v>58</v>
      </c>
      <c r="B251" s="53" t="s">
        <v>3011</v>
      </c>
      <c r="C251" s="54">
        <v>30539</v>
      </c>
    </row>
    <row r="252" spans="1:3" ht="21">
      <c r="A252" s="52">
        <v>84</v>
      </c>
      <c r="B252" s="53" t="s">
        <v>3012</v>
      </c>
      <c r="C252" s="54">
        <v>17829</v>
      </c>
    </row>
    <row r="253" spans="1:3" ht="21">
      <c r="A253" s="52">
        <v>15</v>
      </c>
      <c r="B253" s="53" t="s">
        <v>3013</v>
      </c>
      <c r="C253" s="54">
        <v>134683</v>
      </c>
    </row>
    <row r="254" spans="1:3" ht="21">
      <c r="A254" s="52">
        <v>13</v>
      </c>
      <c r="B254" s="53" t="s">
        <v>3054</v>
      </c>
      <c r="C254" s="54">
        <v>150185</v>
      </c>
    </row>
    <row r="255" spans="1:3" ht="21">
      <c r="A255" s="52">
        <v>69</v>
      </c>
      <c r="B255" s="53" t="s">
        <v>3075</v>
      </c>
      <c r="C255" s="54">
        <v>24660</v>
      </c>
    </row>
    <row r="256" spans="1:3" ht="21">
      <c r="A256" s="52">
        <v>22</v>
      </c>
      <c r="B256" s="53" t="s">
        <v>3065</v>
      </c>
      <c r="C256" s="54">
        <v>91383</v>
      </c>
    </row>
    <row r="257" spans="1:3" ht="21">
      <c r="A257" s="52">
        <v>125</v>
      </c>
      <c r="B257" s="52" t="s">
        <v>2504</v>
      </c>
      <c r="C257" s="54">
        <v>6459</v>
      </c>
    </row>
    <row r="258" spans="1:3" ht="21">
      <c r="A258" s="52">
        <v>112</v>
      </c>
      <c r="B258" s="52" t="s">
        <v>801</v>
      </c>
      <c r="C258" s="54">
        <v>11202</v>
      </c>
    </row>
    <row r="259" spans="1:3" ht="21">
      <c r="A259" s="52">
        <v>40</v>
      </c>
      <c r="B259" s="53" t="s">
        <v>3014</v>
      </c>
      <c r="C259" s="54">
        <v>41201</v>
      </c>
    </row>
    <row r="260" spans="1:3" ht="21">
      <c r="A260" s="52">
        <v>3</v>
      </c>
      <c r="B260" s="53" t="s">
        <v>3056</v>
      </c>
      <c r="C260" s="54">
        <v>450882</v>
      </c>
    </row>
    <row r="261" spans="1:3" ht="21">
      <c r="A261" s="52">
        <v>43</v>
      </c>
      <c r="B261" s="53" t="s">
        <v>257</v>
      </c>
      <c r="C261" s="54">
        <v>39888</v>
      </c>
    </row>
    <row r="262" spans="1:3" ht="21">
      <c r="A262" s="52">
        <v>34</v>
      </c>
      <c r="B262" s="53" t="s">
        <v>258</v>
      </c>
      <c r="C262" s="54">
        <v>54005</v>
      </c>
    </row>
    <row r="263" spans="1:3" ht="21">
      <c r="A263" s="52">
        <v>78</v>
      </c>
      <c r="B263" s="53" t="s">
        <v>3078</v>
      </c>
      <c r="C263" s="54">
        <v>22300</v>
      </c>
    </row>
    <row r="264" spans="1:3" ht="21">
      <c r="A264" s="52">
        <v>82</v>
      </c>
      <c r="B264" s="53" t="s">
        <v>2793</v>
      </c>
      <c r="C264" s="54">
        <v>17873</v>
      </c>
    </row>
    <row r="265" spans="1:3" ht="21">
      <c r="A265" s="52">
        <v>97</v>
      </c>
      <c r="B265" s="53" t="s">
        <v>3083</v>
      </c>
      <c r="C265" s="54">
        <v>15034</v>
      </c>
    </row>
    <row r="266" spans="1:3" ht="21">
      <c r="A266" s="52">
        <v>64</v>
      </c>
      <c r="B266" s="53" t="s">
        <v>3073</v>
      </c>
      <c r="C266" s="54">
        <v>27912</v>
      </c>
    </row>
    <row r="267" spans="1:3" ht="21">
      <c r="A267" s="52">
        <v>45</v>
      </c>
      <c r="B267" s="53" t="s">
        <v>550</v>
      </c>
      <c r="C267" s="54">
        <v>38032</v>
      </c>
    </row>
    <row r="268" spans="1:3" ht="21">
      <c r="A268" s="52">
        <v>62</v>
      </c>
      <c r="B268" s="53" t="s">
        <v>3015</v>
      </c>
      <c r="C268" s="54">
        <v>28725</v>
      </c>
    </row>
    <row r="269" spans="1:3" ht="21">
      <c r="A269" s="52">
        <v>30</v>
      </c>
      <c r="B269" s="53" t="s">
        <v>1703</v>
      </c>
      <c r="C269" s="54">
        <v>68389</v>
      </c>
    </row>
  </sheetData>
  <hyperlinks>
    <hyperlink ref="B175" r:id="rId1" display="https://www.virginia-demographics.com/fairfax-county-demographics" xr:uid="{C8C17083-B1E4-D841-A740-1A51AD1DAF9E}"/>
    <hyperlink ref="B237" r:id="rId2" display="https://www.virginia-demographics.com/prince-william-county-demographics" xr:uid="{537A480B-EF4E-7B4F-A09A-0CD112335ACA}"/>
    <hyperlink ref="B260" r:id="rId3" display="https://www.virginia-demographics.com/virginia-beach-city-county-demographics" xr:uid="{624632C4-E760-C64B-9A63-05671801E2D5}"/>
    <hyperlink ref="B207" r:id="rId4" display="https://www.virginia-demographics.com/loudoun-county-demographics" xr:uid="{C74890E0-EF8A-2D42-8CFA-4ACFC3B594A4}"/>
    <hyperlink ref="B162" r:id="rId5" display="https://www.virginia-demographics.com/chesterfield-county-demographics" xr:uid="{0C667218-4E55-A141-AD78-4441FB53B4F4}"/>
    <hyperlink ref="B195" r:id="rId6" display="https://www.virginia-demographics.com/henrico-county-demographics" xr:uid="{54AAAFB7-1D61-2D47-B97C-C50B560325FC}"/>
    <hyperlink ref="B222" r:id="rId7" display="https://www.virginia-demographics.com/norfolk-city-county-demographics" xr:uid="{99EE168C-D4C9-7946-A37B-9BD9D82F9010}"/>
    <hyperlink ref="B161" r:id="rId8" display="https://www.virginia-demographics.com/chesapeake-city-county-demographics" xr:uid="{DE721F96-53F0-B14F-884C-48BD8D2FD1DA}"/>
    <hyperlink ref="B144" r:id="rId9" display="https://www.virginia-demographics.com/arlington-county-demographics" xr:uid="{2C0F7F65-D2F2-E14F-AED2-EA261909FE67}"/>
    <hyperlink ref="B241" r:id="rId10" display="https://www.virginia-demographics.com/richmond-city-county-demographics" xr:uid="{038FAF75-CE05-6148-956E-2F781840B7C8}"/>
    <hyperlink ref="B221" r:id="rId11" display="https://www.virginia-demographics.com/newport-news-city-county-demographics" xr:uid="{0B5E8EB2-DED3-784B-BFE0-CCA27E4624DC}"/>
    <hyperlink ref="B139" r:id="rId12" display="https://www.virginia-demographics.com/alexandria-city-county-demographics" xr:uid="{B2A78ADD-28F0-FF44-AC6E-7E23A7AA185A}"/>
    <hyperlink ref="B254" r:id="rId13" display="https://www.virginia-demographics.com/stafford-county-demographics" xr:uid="{FE17F220-A10B-AD41-9343-EE386A7179CF}"/>
    <hyperlink ref="B192" r:id="rId14" display="https://www.virginia-demographics.com/hampton-city-county-demographics" xr:uid="{ED5C0BA7-5A0D-4746-8053-05CAC4898D26}"/>
    <hyperlink ref="B253" r:id="rId15" display="https://www.virginia-demographics.com/spotsylvania-county-demographics" xr:uid="{09F99180-325A-5842-B88D-EB9A675B9424}"/>
    <hyperlink ref="B138" r:id="rId16" display="https://www.virginia-demographics.com/albemarle-county-demographics" xr:uid="{D6B63647-055B-074F-8EBD-AE19F8A8526B}"/>
    <hyperlink ref="B193" r:id="rId17" display="https://www.virginia-demographics.com/hanover-county-demographics" xr:uid="{8F314D26-E48A-F442-A596-91079AAC7785}"/>
    <hyperlink ref="B243" r:id="rId18" display="https://www.virginia-demographics.com/roanoke-city-county-demographics" xr:uid="{6B9511B0-071E-324F-9354-4DECA56AED2E}"/>
    <hyperlink ref="B218" r:id="rId19" display="https://www.virginia-demographics.com/montgomery-county-demographics" xr:uid="{5681E6CB-9334-A64E-9B15-7A1AED2989FA}"/>
    <hyperlink ref="B233" r:id="rId20" display="https://www.virginia-demographics.com/portsmouth-city-county-demographics" xr:uid="{09A2DC1E-3E79-694C-827B-90E4154A9745}"/>
    <hyperlink ref="B244" r:id="rId21" display="https://www.virginia-demographics.com/roanoke-county-demographics" xr:uid="{E4FF3B7C-BFD4-8242-97CF-22115512C50E}"/>
    <hyperlink ref="B256" r:id="rId22" display="https://www.virginia-demographics.com/suffolk-city-county-demographics" xr:uid="{F7A2A70D-D4D1-4741-9C2B-E90F40F1D821}"/>
    <hyperlink ref="B182" r:id="rId23" display="https://www.virginia-demographics.com/frederick-county-demographics" xr:uid="{2C5EDEA5-A172-E542-95F0-A7EF107BC7D4}"/>
    <hyperlink ref="B246" r:id="rId24" display="https://www.virginia-demographics.com/rockingham-county-demographics" xr:uid="{B57CC999-7D3E-544D-B781-4E1769FD6467}"/>
    <hyperlink ref="B210" r:id="rId25" display="https://www.virginia-demographics.com/lynchburg-city-county-demographics" xr:uid="{B0AED8ED-0475-3448-92A8-DDFDA1246CF9}"/>
    <hyperlink ref="B147" r:id="rId26" display="https://www.virginia-demographics.com/bedford-county-demographics" xr:uid="{7DB86809-F272-A34A-B6C8-683E2D02DB5E}"/>
    <hyperlink ref="B200" r:id="rId27" display="https://www.virginia-demographics.com/james-city-county-demographics" xr:uid="{117FC55B-F1F2-9847-B73F-AB63A3100CBA}"/>
    <hyperlink ref="B145" r:id="rId28" display="https://www.virginia-demographics.com/augusta-county-demographics" xr:uid="{79B22CB8-35FF-144D-82B1-786642542551}"/>
    <hyperlink ref="B177" r:id="rId29" display="https://www.virginia-demographics.com/fauquier-county-demographics" xr:uid="{E9FB88B6-2C0F-FF42-9C27-B217E019C0F8}"/>
    <hyperlink ref="B269" r:id="rId30" display="https://www.virginia-demographics.com/york-county-demographics" xr:uid="{B2C76835-FDA7-144D-83F9-B60379FFF7BD}"/>
    <hyperlink ref="B231" r:id="rId31" display="https://www.virginia-demographics.com/pittsylvania-county-demographics" xr:uid="{0F546B69-E943-1740-9BFE-309596B8C991}"/>
    <hyperlink ref="B181" r:id="rId32" display="https://www.virginia-demographics.com/franklin-county-demographics" xr:uid="{989A4247-F9B1-F54E-B9C8-671B33053793}"/>
    <hyperlink ref="B155" r:id="rId33" display="https://www.virginia-demographics.com/campbell-county-demographics" xr:uid="{188430F7-44BB-9F4C-BB5B-F45D1507782B}"/>
    <hyperlink ref="B262" r:id="rId34" display="https://www.virginia-demographics.com/washington-county-demographics" xr:uid="{B41BDC5A-7BD0-2B41-8426-2407BEA36792}"/>
    <hyperlink ref="B194" r:id="rId35" display="https://www.virginia-demographics.com/harrisonburg-city-county-demographics" xr:uid="{A3C54A3B-F028-9744-AF53-FD097C1684C7}"/>
    <hyperlink ref="B167" r:id="rId36" display="https://www.virginia-demographics.com/culpeper-county-demographics" xr:uid="{F8CD00BD-D5DD-C544-9BAF-53ADC0A99B85}"/>
    <hyperlink ref="B196" r:id="rId37" display="https://www.virginia-demographics.com/henry-county-demographics" xr:uid="{7CE02F05-8D65-EF43-BE5A-268C79016853}"/>
    <hyperlink ref="B160" r:id="rId38" display="https://www.virginia-demographics.com/charlottesville-city-county-demographics" xr:uid="{5E922466-EF94-444D-98F5-26DD251A00D1}"/>
    <hyperlink ref="B250" r:id="rId39" display="https://www.virginia-demographics.com/shenandoah-county-demographics" xr:uid="{14E8A73D-6FBF-114F-BACA-82B8A57C2082}"/>
    <hyperlink ref="B259" r:id="rId40" display="https://www.virginia-demographics.com/tazewell-county-demographics" xr:uid="{42F64CDF-5F9D-E845-B963-6AFE725F6DE5}"/>
    <hyperlink ref="B212" r:id="rId41" display="https://www.virginia-demographics.com/manassas-city-county-demographics" xr:uid="{D2CED24B-B725-1E4E-8FC2-065E90785EEF}"/>
    <hyperlink ref="B169" r:id="rId42" display="https://www.virginia-demographics.com/danville-city-county-demographics" xr:uid="{E354D679-CCAB-BD4D-8A3C-08F48D4CFAC1}"/>
    <hyperlink ref="B261" r:id="rId43" display="https://www.virginia-demographics.com/warren-county-demographics" xr:uid="{6E2C6205-451B-B540-B4E9-505797604A7F}"/>
    <hyperlink ref="B236" r:id="rId44" display="https://www.virginia-demographics.com/prince-george-county-demographics" xr:uid="{800DCDD9-FE2B-DE48-971E-2FD2018B3D5C}"/>
    <hyperlink ref="B267" r:id="rId45" display="https://www.virginia-demographics.com/wise-county-demographics" xr:uid="{BD3231F7-F783-3547-9CED-A283A7418A12}"/>
    <hyperlink ref="B186" r:id="rId46" display="https://www.virginia-demographics.com/gloucester-county-demographics" xr:uid="{B58643AF-CD07-BD4B-B610-8BB08E96C07F}"/>
    <hyperlink ref="B199" r:id="rId47" display="https://www.virginia-demographics.com/isle-of-wight-county-demographics" xr:uid="{4D3CCCC6-2AE0-0845-BABE-02BAA4538A31}"/>
    <hyperlink ref="B208" r:id="rId48" display="https://www.virginia-demographics.com/louisa-county-demographics" xr:uid="{6970F5D0-04F8-B74F-8C06-F6578EBD7642}"/>
    <hyperlink ref="B227" r:id="rId49" display="https://www.virginia-demographics.com/orange-county-demographics" xr:uid="{DC31E9DD-AE09-2548-8E52-622BE3D995CE}"/>
    <hyperlink ref="B191" r:id="rId50" display="https://www.virginia-demographics.com/halifax-county-demographics" xr:uid="{E9AF9791-73DB-8241-B5F5-4E844890CEDD}"/>
    <hyperlink ref="B238" r:id="rId51" display="https://www.virginia-demographics.com/pulaski-county-demographics" xr:uid="{C49E14FD-AD2F-B444-A026-33EE4D5F57A4}"/>
    <hyperlink ref="B149" r:id="rId52" display="https://www.virginia-demographics.com/botetourt-county-demographics" xr:uid="{BF07361A-6B74-4545-9823-D3F62FA10D5E}"/>
    <hyperlink ref="B137" r:id="rId53" display="https://www.virginia-demographics.com/accomack-county-demographics" xr:uid="{20E6959F-C765-FD48-8E32-1F7481C08869}"/>
    <hyperlink ref="B142" r:id="rId54" display="https://www.virginia-demographics.com/amherst-county-demographics" xr:uid="{FB6BD984-B697-2748-AFA7-454FFCE07362}"/>
    <hyperlink ref="B230" r:id="rId55" display="https://www.virginia-demographics.com/petersburg-city-county-demographics" xr:uid="{5D153BD4-CA16-604C-842E-EFF0CC582909}"/>
    <hyperlink ref="B216" r:id="rId56" display="https://www.virginia-demographics.com/mecklenburg-county-demographics" xr:uid="{0A93435E-79E9-B944-8A73-086DA40E88AE}"/>
    <hyperlink ref="B156" r:id="rId57" display="https://www.virginia-demographics.com/caroline-county-demographics" xr:uid="{8A1C4B32-D115-F743-BEDC-6AB6F2B7D4C4}"/>
    <hyperlink ref="B251" r:id="rId58" display="https://www.virginia-demographics.com/smyth-county-demographics" xr:uid="{EC4B8C3E-1706-BD4B-95F3-EE76936A3806}"/>
    <hyperlink ref="B157" r:id="rId59" display="https://www.virginia-demographics.com/carroll-county-demographics" xr:uid="{FBD82881-D923-4946-B591-781B898FB1E7}"/>
    <hyperlink ref="B234" r:id="rId60" display="https://www.virginia-demographics.com/powhatan-county-demographics" xr:uid="{D160F4A5-7D6D-E940-9CE6-5FEEFC6BC40A}"/>
    <hyperlink ref="B183" r:id="rId61" display="https://www.virginia-demographics.com/fredericksburg-city-county-demographics" xr:uid="{A271FF81-B6E4-F84E-99E4-13FDBFC3089B}"/>
    <hyperlink ref="B268" r:id="rId62" display="https://www.virginia-demographics.com/wythe-county-demographics" xr:uid="{D05BEBA7-CA81-264A-B3FC-C54DBAD853B2}"/>
    <hyperlink ref="B171" r:id="rId63" display="https://www.virginia-demographics.com/dinwiddie-county-demographics" xr:uid="{5EA9E7EF-404D-B04E-BED8-2883F26A0029}"/>
    <hyperlink ref="B266" r:id="rId64" display="https://www.virginia-demographics.com/winchester-city-county-demographics" xr:uid="{CEE01704-EB9C-6A48-A799-EE91AEC1AF7A}"/>
    <hyperlink ref="B247" r:id="rId65" display="https://www.virginia-demographics.com/russell-county-demographics" xr:uid="{F58F67D1-67B6-9344-9049-3ACFE6372B59}"/>
    <hyperlink ref="B179" r:id="rId66" display="https://www.virginia-demographics.com/fluvanna-county-demographics" xr:uid="{32EBA024-E489-CA42-A7B0-4AC581AFE98B}"/>
    <hyperlink ref="B202" r:id="rId67" display="https://www.virginia-demographics.com/king-george-county-demographics" xr:uid="{9B2A6E15-562F-8747-8A0B-EC0C9D6700ED}"/>
    <hyperlink ref="B248" r:id="rId68" display="https://www.virginia-demographics.com/salem-city-county-demographics" xr:uid="{592B5829-70D0-4A4C-8E42-9FF243831C23}"/>
    <hyperlink ref="B255" r:id="rId69" display="https://www.virginia-demographics.com/staunton-city-county-demographics" xr:uid="{B7A9A9CC-F068-AF4A-8066-97E79BC4803C}"/>
    <hyperlink ref="B228" r:id="rId70" display="https://www.virginia-demographics.com/page-county-demographics" xr:uid="{F4924E01-5B17-3C47-870B-8AB9E9201C51}"/>
    <hyperlink ref="B205" r:id="rId71" display="https://www.virginia-demographics.com/lee-county-demographics" xr:uid="{4B39520D-B562-1C4C-9A85-24DA12A6B315}"/>
    <hyperlink ref="B187" r:id="rId72" display="https://www.virginia-demographics.com/goochland-county-demographics" xr:uid="{557BF0CD-59FE-E64B-9442-30CBACF6FAC7}"/>
    <hyperlink ref="B174" r:id="rId73" display="https://www.virginia-demographics.com/fairfax-city-county-demographics" xr:uid="{AE0BA3A5-9D81-1540-949F-67A12E82C742}"/>
    <hyperlink ref="B235" r:id="rId74" display="https://www.virginia-demographics.com/prince-edward-county-demographics" xr:uid="{F50A72FD-B4AA-4D4D-8D79-F4F6ADEEF5C2}"/>
    <hyperlink ref="B245" r:id="rId75" display="https://www.virginia-demographics.com/rockbridge-county-demographics" xr:uid="{6BDFD5CE-347F-1046-ADA2-AAAD227E3AA3}"/>
    <hyperlink ref="B198" r:id="rId76" display="https://www.virginia-demographics.com/hopewell-city-county-demographics" xr:uid="{4EDA5822-0335-E94F-83A1-13585EB99485}"/>
    <hyperlink ref="B220" r:id="rId77" display="https://www.virginia-demographics.com/new-kent-county-demographics" xr:uid="{E314FBF7-DC0B-DB40-8A83-9E6DE7CA346F}"/>
    <hyperlink ref="B263" r:id="rId78" display="https://www.virginia-demographics.com/waynesboro-city-county-demographics" xr:uid="{769C8D53-07C5-BB48-AD4E-C4CCA8DACE18}"/>
    <hyperlink ref="B249" r:id="rId79" display="https://www.virginia-demographics.com/scott-county-demographics" xr:uid="{7AAE3718-58D0-7D4F-946F-D442A8E8F4F4}"/>
    <hyperlink ref="B152" r:id="rId80" display="https://www.virginia-demographics.com/buchanan-county-demographics" xr:uid="{588981E7-C3B3-8C48-A589-287DB01FBBA7}"/>
    <hyperlink ref="B189" r:id="rId81" display="https://www.virginia-demographics.com/greene-county-demographics" xr:uid="{B1C72080-242B-FD4E-8E59-4CB3D0486FDD}"/>
    <hyperlink ref="B264" r:id="rId82" display="https://www.virginia-demographics.com/westmoreland-county-demographics" xr:uid="{94F2B038-768B-AF49-9AC6-286624CC9863}"/>
    <hyperlink ref="B239" r:id="rId83" display="https://www.virginia-demographics.com/radford-city-county-demographics" xr:uid="{ACFAF13E-986C-644E-A0D2-E78D113911C8}"/>
    <hyperlink ref="B252" r:id="rId84" display="https://www.virginia-demographics.com/southampton-county-demographics" xr:uid="{3E75663D-E041-CA4E-8488-C8D4D353B3BE}"/>
    <hyperlink ref="B229" r:id="rId85" display="https://www.virginia-demographics.com/patrick-county-demographics" xr:uid="{11457D2A-287E-0044-85F8-098DD1B27C91}"/>
    <hyperlink ref="B213" r:id="rId86" display="https://www.virginia-demographics.com/manassas-park-city-county-demographics" xr:uid="{59CA586E-C0C7-CC42-B95C-ABF9309F01E5}"/>
    <hyperlink ref="B164" r:id="rId87" display="https://www.virginia-demographics.com/colonial-heights-city-county-demographics" xr:uid="{5E04CC15-8A7C-5E4B-ADED-E4290CC5F9E0}"/>
    <hyperlink ref="B153" r:id="rId88" display="https://www.virginia-demographics.com/buckingham-county-demographics" xr:uid="{48F4E967-39A2-444F-AC83-702AEB43AE03}"/>
    <hyperlink ref="B150" r:id="rId89" display="https://www.virginia-demographics.com/bristol-city-county-demographics" xr:uid="{C65D7ED8-61D2-4940-B52A-A0FBA2F2F830}"/>
    <hyperlink ref="B203" r:id="rId90" display="https://www.virginia-demographics.com/king-william-county-demographics" xr:uid="{BBA4E610-5DD3-D646-883D-88D4FDE27E55}"/>
    <hyperlink ref="B185" r:id="rId91" display="https://www.virginia-demographics.com/giles-county-demographics" xr:uid="{F63DCCBE-05DA-784E-814A-F54E00EFED46}"/>
    <hyperlink ref="B151" r:id="rId92" display="https://www.virginia-demographics.com/brunswick-county-demographics" xr:uid="{3CF06905-E654-4A40-9C7F-C147D6D232BE}"/>
    <hyperlink ref="B143" r:id="rId93" display="https://www.virginia-demographics.com/appomattox-county-demographics" xr:uid="{6F6BD921-4EB2-7E40-AA10-772DD2294937}"/>
    <hyperlink ref="B178" r:id="rId94" display="https://www.virginia-demographics.com/floyd-county-demographics" xr:uid="{AE1ED54F-C0E9-6642-971A-5B91945D5173}"/>
    <hyperlink ref="B188" r:id="rId95" display="https://www.virginia-demographics.com/grayson-county-demographics" xr:uid="{AAA5E192-5807-0541-9DB5-06ED794ADAA1}"/>
    <hyperlink ref="B226" r:id="rId96" display="https://www.virginia-demographics.com/nottoway-county-demographics" xr:uid="{B7E769DE-74BD-A246-B2E0-B783E9B73A86}"/>
    <hyperlink ref="B265" r:id="rId97" display="https://www.virginia-demographics.com/williamsburg-city-county-demographics" xr:uid="{725E5119-28C8-D049-A6D7-276C4970D325}"/>
    <hyperlink ref="B140" r:id="rId98" display="https://www.virginia-demographics.com/alleghany-county-demographics" xr:uid="{3A0EE41D-39EA-6746-820D-05E4EA8627ED}"/>
    <hyperlink ref="B219" r:id="rId99" display="https://www.virginia-demographics.com/nelson-county-demographics" xr:uid="{F36B9129-28A3-1C4A-9EEA-EB21999C4DAE}"/>
    <hyperlink ref="B170" r:id="rId100" display="https://www.virginia-demographics.com/dickenson-county-demographics" xr:uid="{5202B133-9C12-D14B-8D61-E74CBD23EA87}"/>
  </hyperlinks>
  <pageMargins left="0.7" right="0.7" top="0.75" bottom="0.75" header="0.3" footer="0.3"/>
  <tableParts count="3">
    <tablePart r:id="rId101"/>
    <tablePart r:id="rId102"/>
    <tablePart r:id="rId10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B69C-D67F-6E46-85D1-AC3491D2DFCA}">
  <dimension ref="A1:Q147"/>
  <sheetViews>
    <sheetView topLeftCell="B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ht="21">
      <c r="A1" s="95" t="s">
        <v>64</v>
      </c>
      <c r="B1" s="95" t="s">
        <v>1674</v>
      </c>
      <c r="C1" s="95" t="s">
        <v>1</v>
      </c>
      <c r="D1" s="95" t="s">
        <v>1677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t="s">
        <v>267</v>
      </c>
      <c r="Q1" t="s">
        <v>328</v>
      </c>
    </row>
    <row r="2" spans="1:17" ht="20">
      <c r="A2" s="78" t="s">
        <v>1094</v>
      </c>
      <c r="B2" s="78" t="s">
        <v>297</v>
      </c>
      <c r="C2" s="78">
        <v>31</v>
      </c>
      <c r="D2" s="78">
        <f>Table97[[#This Row],[2020]]/C76</f>
        <v>1.5340459224069676E-3</v>
      </c>
      <c r="F2" s="16" t="s">
        <v>1144</v>
      </c>
      <c r="G2" s="17">
        <v>4329</v>
      </c>
      <c r="H2" s="80">
        <f>Table98[[#This Row],[BIDEN VOTES]]/C76</f>
        <v>0.21422209026128267</v>
      </c>
      <c r="I2" s="18">
        <v>0.36699999999999999</v>
      </c>
      <c r="J2" s="17">
        <v>7362</v>
      </c>
      <c r="K2" s="80">
        <f>Table98[[#This Row],[TRUMP VOTES]]/C76</f>
        <v>0.36431116389548696</v>
      </c>
      <c r="L2" s="18">
        <v>0.624</v>
      </c>
      <c r="M2" s="80">
        <f>1-(Table98[[#This Row],[NbP]]+Table98[[#This Row],[NbP2]])</f>
        <v>0.42146674584323041</v>
      </c>
      <c r="O2" t="s">
        <v>1672</v>
      </c>
      <c r="P2" s="37">
        <f>CORREL(D:D,H:H)</f>
        <v>-9.2804882812403372E-2</v>
      </c>
      <c r="Q2">
        <v>0.1</v>
      </c>
    </row>
    <row r="3" spans="1:17" ht="20">
      <c r="A3" s="78" t="s">
        <v>2583</v>
      </c>
      <c r="B3" s="78" t="s">
        <v>297</v>
      </c>
      <c r="C3" s="78">
        <v>16</v>
      </c>
      <c r="D3" s="78">
        <f>Table97[[#This Row],[2020]]/C77</f>
        <v>1.030662200463798E-3</v>
      </c>
      <c r="F3" s="16" t="s">
        <v>2617</v>
      </c>
      <c r="G3" s="17">
        <v>4801</v>
      </c>
      <c r="H3" s="80">
        <f>Table98[[#This Row],[BIDEN VOTES]]/C77</f>
        <v>0.3092630765266684</v>
      </c>
      <c r="I3" s="18">
        <v>0.55000000000000004</v>
      </c>
      <c r="J3" s="17">
        <v>3841</v>
      </c>
      <c r="K3" s="80">
        <f>Table98[[#This Row],[TRUMP VOTES]]/C77</f>
        <v>0.24742334449884051</v>
      </c>
      <c r="L3" s="18">
        <v>0.44</v>
      </c>
      <c r="M3" s="80">
        <f>1-(Table98[[#This Row],[NbP]]+Table98[[#This Row],[NbP2]])</f>
        <v>0.44331357897449108</v>
      </c>
      <c r="O3" t="s">
        <v>1671</v>
      </c>
      <c r="P3" s="37">
        <f>CORREL(D:D,K:K)</f>
        <v>-0.18660831925967877</v>
      </c>
      <c r="Q3" s="1">
        <v>0.1</v>
      </c>
    </row>
    <row r="4" spans="1:17" ht="20">
      <c r="A4" s="78" t="s">
        <v>3094</v>
      </c>
      <c r="B4" s="78" t="s">
        <v>297</v>
      </c>
      <c r="C4" s="78">
        <v>33</v>
      </c>
      <c r="D4" s="78">
        <f>Table97[[#This Row],[2020]]/C78</f>
        <v>7.3037935461024305E-4</v>
      </c>
      <c r="F4" s="16" t="s">
        <v>3132</v>
      </c>
      <c r="G4" s="17">
        <v>9194</v>
      </c>
      <c r="H4" s="80">
        <f>Table98[[#This Row],[BIDEN VOTES]]/C78</f>
        <v>0.20348811473595679</v>
      </c>
      <c r="I4" s="18">
        <v>0.36299999999999999</v>
      </c>
      <c r="J4" s="17">
        <v>15803</v>
      </c>
      <c r="K4" s="80">
        <f>Table98[[#This Row],[TRUMP VOTES]]/C78</f>
        <v>0.34976318002744455</v>
      </c>
      <c r="L4" s="18">
        <v>0.624</v>
      </c>
      <c r="M4" s="80">
        <f>1-(Table98[[#This Row],[NbP]]+Table98[[#This Row],[NbP2]])</f>
        <v>0.4467487052365986</v>
      </c>
      <c r="O4" t="s">
        <v>1679</v>
      </c>
      <c r="P4">
        <f>CORREL(D:D,M:M)</f>
        <v>0.29136878325929977</v>
      </c>
      <c r="Q4" s="1">
        <v>0.1</v>
      </c>
    </row>
    <row r="5" spans="1:17" ht="20">
      <c r="A5" s="78" t="s">
        <v>3095</v>
      </c>
      <c r="B5" s="78" t="s">
        <v>297</v>
      </c>
      <c r="C5" s="78">
        <v>9</v>
      </c>
      <c r="D5" s="78">
        <f>Table97[[#This Row],[2020]]/C79</f>
        <v>5.9650053022269358E-4</v>
      </c>
      <c r="F5" s="16" t="s">
        <v>3133</v>
      </c>
      <c r="G5" s="17">
        <v>6147</v>
      </c>
      <c r="H5" s="80">
        <f>Table98[[#This Row],[BIDEN VOTES]]/C79</f>
        <v>0.40740986214209968</v>
      </c>
      <c r="I5" s="18">
        <v>0.56599999999999995</v>
      </c>
      <c r="J5" s="17">
        <v>4617</v>
      </c>
      <c r="K5" s="80">
        <f>Table98[[#This Row],[TRUMP VOTES]]/C79</f>
        <v>0.30600477200424175</v>
      </c>
      <c r="L5" s="18">
        <v>0.42499999999999999</v>
      </c>
      <c r="M5" s="80">
        <f>1-(Table98[[#This Row],[NbP]]+Table98[[#This Row],[NbP2]])</f>
        <v>0.28658536585365857</v>
      </c>
    </row>
    <row r="6" spans="1:17" ht="20">
      <c r="A6" s="78" t="s">
        <v>582</v>
      </c>
      <c r="B6" s="78" t="s">
        <v>297</v>
      </c>
      <c r="C6" s="78">
        <v>208</v>
      </c>
      <c r="D6" s="78">
        <f>Table97[[#This Row],[2020]]/C80</f>
        <v>7.9220289534923582E-4</v>
      </c>
      <c r="F6" s="16" t="s">
        <v>354</v>
      </c>
      <c r="G6" s="17">
        <v>65511</v>
      </c>
      <c r="H6" s="80">
        <f>Table98[[#This Row],[BIDEN VOTES]]/C80</f>
        <v>0.24950963402511436</v>
      </c>
      <c r="I6" s="18">
        <v>0.45600000000000002</v>
      </c>
      <c r="J6" s="17">
        <v>75871</v>
      </c>
      <c r="K6" s="80">
        <f>Table98[[#This Row],[TRUMP VOTES]]/C80</f>
        <v>0.28896743208193204</v>
      </c>
      <c r="L6" s="18">
        <v>0.52800000000000002</v>
      </c>
      <c r="M6" s="80">
        <f>1-(Table98[[#This Row],[NbP]]+Table98[[#This Row],[NbP2]])</f>
        <v>0.46152293389295362</v>
      </c>
    </row>
    <row r="7" spans="1:17" ht="20">
      <c r="A7" s="78" t="s">
        <v>2179</v>
      </c>
      <c r="B7" s="78" t="s">
        <v>297</v>
      </c>
      <c r="C7" s="78">
        <v>16</v>
      </c>
      <c r="D7" s="78">
        <f>Table97[[#This Row],[2020]]/C81</f>
        <v>1.2225873003744174E-3</v>
      </c>
      <c r="F7" s="16" t="s">
        <v>2229</v>
      </c>
      <c r="G7" s="17">
        <v>2860</v>
      </c>
      <c r="H7" s="80">
        <f>Table98[[#This Row],[BIDEN VOTES]]/C81</f>
        <v>0.2185374799419271</v>
      </c>
      <c r="I7" s="18">
        <v>0.36599999999999999</v>
      </c>
      <c r="J7" s="17">
        <v>4834</v>
      </c>
      <c r="K7" s="80">
        <f>Table98[[#This Row],[TRUMP VOTES]]/C81</f>
        <v>0.36937418812562084</v>
      </c>
      <c r="L7" s="18">
        <v>0.61899999999999999</v>
      </c>
      <c r="M7" s="80">
        <f>1-(Table98[[#This Row],[NbP]]+Table98[[#This Row],[NbP2]])</f>
        <v>0.41208833193245209</v>
      </c>
    </row>
    <row r="8" spans="1:17" ht="20">
      <c r="A8" s="78" t="s">
        <v>3096</v>
      </c>
      <c r="B8" s="78" t="s">
        <v>297</v>
      </c>
      <c r="C8" s="78">
        <v>38</v>
      </c>
      <c r="D8" s="78">
        <f>Table97[[#This Row],[2020]]/C82</f>
        <v>2.4734752327019464E-3</v>
      </c>
      <c r="F8" s="16" t="s">
        <v>3134</v>
      </c>
      <c r="G8" s="17">
        <v>3569</v>
      </c>
      <c r="H8" s="80">
        <f>Table98[[#This Row],[BIDEN VOTES]]/C82</f>
        <v>0.23231139751350649</v>
      </c>
      <c r="I8" s="18">
        <v>0.35199999999999998</v>
      </c>
      <c r="J8" s="17">
        <v>6462</v>
      </c>
      <c r="K8" s="80">
        <f>Table98[[#This Row],[TRUMP VOTES]]/C82</f>
        <v>0.42062097246631519</v>
      </c>
      <c r="L8" s="18">
        <v>0.63700000000000001</v>
      </c>
      <c r="M8" s="80">
        <f>1-(Table98[[#This Row],[NbP]]+Table98[[#This Row],[NbP2]])</f>
        <v>0.34706763002017826</v>
      </c>
    </row>
    <row r="9" spans="1:17" ht="20">
      <c r="A9" s="78" t="s">
        <v>3097</v>
      </c>
      <c r="B9" s="78" t="s">
        <v>297</v>
      </c>
      <c r="C9" s="78">
        <v>18</v>
      </c>
      <c r="D9" s="78">
        <f>Table97[[#This Row],[2020]]/C83</f>
        <v>3.5996400359964006E-4</v>
      </c>
      <c r="F9" s="16" t="s">
        <v>3135</v>
      </c>
      <c r="G9" s="17">
        <v>12116</v>
      </c>
      <c r="H9" s="80">
        <f>Table98[[#This Row],[BIDEN VOTES]]/C83</f>
        <v>0.24229577042295772</v>
      </c>
      <c r="I9" s="18">
        <v>0.39400000000000002</v>
      </c>
      <c r="J9" s="17">
        <v>18156</v>
      </c>
      <c r="K9" s="80">
        <f>Table98[[#This Row],[TRUMP VOTES]]/C83</f>
        <v>0.36308369163083692</v>
      </c>
      <c r="L9" s="18">
        <v>0.59</v>
      </c>
      <c r="M9" s="80">
        <f>1-(Table98[[#This Row],[NbP]]+Table98[[#This Row],[NbP2]])</f>
        <v>0.39462053794620533</v>
      </c>
    </row>
    <row r="10" spans="1:17" ht="20">
      <c r="A10" s="78" t="s">
        <v>1762</v>
      </c>
      <c r="B10" s="78" t="s">
        <v>297</v>
      </c>
      <c r="C10" s="78">
        <v>52</v>
      </c>
      <c r="D10" s="78">
        <f>Table97[[#This Row],[2020]]/C84</f>
        <v>8.1028437865212309E-4</v>
      </c>
      <c r="F10" s="16" t="s">
        <v>1827</v>
      </c>
      <c r="G10" s="17">
        <v>13983</v>
      </c>
      <c r="H10" s="80">
        <f>Table98[[#This Row],[BIDEN VOTES]]/C84</f>
        <v>0.21788858589793533</v>
      </c>
      <c r="I10" s="18">
        <v>0.38900000000000001</v>
      </c>
      <c r="J10" s="17">
        <v>21317</v>
      </c>
      <c r="K10" s="80">
        <f>Table98[[#This Row],[TRUMP VOTES]]/C84</f>
        <v>0.33216984807167899</v>
      </c>
      <c r="L10" s="18">
        <v>0.59399999999999997</v>
      </c>
      <c r="M10" s="80">
        <f>1-(Table98[[#This Row],[NbP]]+Table98[[#This Row],[NbP2]])</f>
        <v>0.44994156603038571</v>
      </c>
    </row>
    <row r="11" spans="1:17" ht="20">
      <c r="A11" s="78" t="s">
        <v>1418</v>
      </c>
      <c r="B11" s="78" t="s">
        <v>297</v>
      </c>
      <c r="C11" s="78">
        <v>37</v>
      </c>
      <c r="D11" s="78">
        <f>Table97[[#This Row],[2020]]/C85</f>
        <v>1.0672666435906312E-3</v>
      </c>
      <c r="F11" s="16" t="s">
        <v>1404</v>
      </c>
      <c r="G11" s="17">
        <v>4524</v>
      </c>
      <c r="H11" s="80">
        <f>Table98[[#This Row],[BIDEN VOTES]]/C85</f>
        <v>0.13049498096227069</v>
      </c>
      <c r="I11" s="18">
        <v>0.30399999999999999</v>
      </c>
      <c r="J11" s="17">
        <v>10002</v>
      </c>
      <c r="K11" s="80">
        <f>Table98[[#This Row],[TRUMP VOTES]]/C85</f>
        <v>0.28850813430252681</v>
      </c>
      <c r="L11" s="18">
        <v>0.67200000000000004</v>
      </c>
      <c r="M11" s="80">
        <f>1-(Table98[[#This Row],[NbP]]+Table98[[#This Row],[NbP2]])</f>
        <v>0.5809968847352025</v>
      </c>
    </row>
    <row r="12" spans="1:17" ht="20">
      <c r="A12" s="78" t="s">
        <v>320</v>
      </c>
      <c r="B12" s="78" t="s">
        <v>297</v>
      </c>
      <c r="C12" s="78">
        <v>15</v>
      </c>
      <c r="D12" s="78">
        <f>Table97[[#This Row],[2020]]/C86</f>
        <v>2.6163855505747325E-4</v>
      </c>
      <c r="F12" s="16" t="s">
        <v>271</v>
      </c>
      <c r="G12" s="17">
        <v>16410</v>
      </c>
      <c r="H12" s="80">
        <f>Table98[[#This Row],[BIDEN VOTES]]/C86</f>
        <v>0.28623257923287576</v>
      </c>
      <c r="I12" s="18">
        <v>0.48499999999999999</v>
      </c>
      <c r="J12" s="17">
        <v>16927</v>
      </c>
      <c r="K12" s="80">
        <f>Table98[[#This Row],[TRUMP VOTES]]/C86</f>
        <v>0.29525038809719001</v>
      </c>
      <c r="L12" s="18">
        <v>0.5</v>
      </c>
      <c r="M12" s="80">
        <f>1-(Table98[[#This Row],[NbP]]+Table98[[#This Row],[NbP2]])</f>
        <v>0.41851703266993423</v>
      </c>
    </row>
    <row r="13" spans="1:17" ht="20">
      <c r="A13" s="78" t="s">
        <v>1237</v>
      </c>
      <c r="B13" s="78" t="s">
        <v>297</v>
      </c>
      <c r="C13" s="78">
        <v>32</v>
      </c>
      <c r="D13" s="78">
        <f>Table97[[#This Row],[2020]]/C87</f>
        <v>1.9808108944599197E-3</v>
      </c>
      <c r="F13" s="16" t="s">
        <v>1331</v>
      </c>
      <c r="G13" s="17">
        <v>3953</v>
      </c>
      <c r="H13" s="80">
        <f>Table98[[#This Row],[BIDEN VOTES]]/C87</f>
        <v>0.24469204580625192</v>
      </c>
      <c r="I13" s="18">
        <v>0.45500000000000002</v>
      </c>
      <c r="J13" s="17">
        <v>4620</v>
      </c>
      <c r="K13" s="80">
        <f>Table98[[#This Row],[TRUMP VOTES]]/C87</f>
        <v>0.28597957288765086</v>
      </c>
      <c r="L13" s="18">
        <v>0.53100000000000003</v>
      </c>
      <c r="M13" s="80">
        <f>1-(Table98[[#This Row],[NbP]]+Table98[[#This Row],[NbP2]])</f>
        <v>0.46932838130609722</v>
      </c>
    </row>
    <row r="14" spans="1:17" ht="20">
      <c r="A14" s="78" t="s">
        <v>3098</v>
      </c>
      <c r="B14" s="78" t="s">
        <v>297</v>
      </c>
      <c r="C14" s="78">
        <v>198</v>
      </c>
      <c r="D14" s="78">
        <f>Table97[[#This Row],[2020]]/C88</f>
        <v>3.650045441222286E-4</v>
      </c>
      <c r="F14" s="16" t="s">
        <v>3136</v>
      </c>
      <c r="G14" s="17">
        <v>260121</v>
      </c>
      <c r="H14" s="80">
        <f>Table98[[#This Row],[BIDEN VOTES]]/C88</f>
        <v>0.47952195465463748</v>
      </c>
      <c r="I14" s="18">
        <v>0.75700000000000001</v>
      </c>
      <c r="J14" s="17">
        <v>78794</v>
      </c>
      <c r="K14" s="80">
        <f>Table98[[#This Row],[TRUMP VOTES]]/C88</f>
        <v>0.14525337398771151</v>
      </c>
      <c r="L14" s="18">
        <v>0.22900000000000001</v>
      </c>
      <c r="M14" s="80">
        <f>1-(Table98[[#This Row],[NbP]]+Table98[[#This Row],[NbP2]])</f>
        <v>0.37522467135765103</v>
      </c>
    </row>
    <row r="15" spans="1:17" ht="20">
      <c r="A15" s="78" t="s">
        <v>1241</v>
      </c>
      <c r="B15" s="78" t="s">
        <v>297</v>
      </c>
      <c r="C15" s="78">
        <v>30</v>
      </c>
      <c r="D15" s="78">
        <f>Table97[[#This Row],[2020]]/C89</f>
        <v>3.4258698854617502E-4</v>
      </c>
      <c r="F15" s="16" t="s">
        <v>1334</v>
      </c>
      <c r="G15" s="17">
        <v>16356</v>
      </c>
      <c r="H15" s="80">
        <f>Table98[[#This Row],[BIDEN VOTES]]/C89</f>
        <v>0.18677842615537463</v>
      </c>
      <c r="I15" s="18">
        <v>0.33800000000000002</v>
      </c>
      <c r="J15" s="17">
        <v>31355</v>
      </c>
      <c r="K15" s="80">
        <f>Table98[[#This Row],[TRUMP VOTES]]/C89</f>
        <v>0.35806050086217728</v>
      </c>
      <c r="L15" s="18">
        <v>0.64800000000000002</v>
      </c>
      <c r="M15" s="80">
        <f>1-(Table98[[#This Row],[NbP]]+Table98[[#This Row],[NbP2]])</f>
        <v>0.45516107298244812</v>
      </c>
    </row>
    <row r="16" spans="1:17" ht="20">
      <c r="A16" s="78" t="s">
        <v>3099</v>
      </c>
      <c r="B16" s="78" t="s">
        <v>297</v>
      </c>
      <c r="C16" s="78">
        <v>16</v>
      </c>
      <c r="D16" s="78">
        <f>Table97[[#This Row],[2020]]/C90</f>
        <v>5.792693964736975E-4</v>
      </c>
      <c r="F16" s="16" t="s">
        <v>3137</v>
      </c>
      <c r="G16" s="17">
        <v>10044</v>
      </c>
      <c r="H16" s="80">
        <f>Table98[[#This Row],[BIDEN VOTES]]/C90</f>
        <v>0.36363636363636365</v>
      </c>
      <c r="I16" s="18">
        <v>0.5</v>
      </c>
      <c r="J16" s="17">
        <v>9752</v>
      </c>
      <c r="K16" s="80">
        <f>Table98[[#This Row],[TRUMP VOTES]]/C90</f>
        <v>0.35306469715071864</v>
      </c>
      <c r="L16" s="18">
        <v>0.48599999999999999</v>
      </c>
      <c r="M16" s="80">
        <f>1-(Table98[[#This Row],[NbP]]+Table98[[#This Row],[NbP2]])</f>
        <v>0.28329893921291771</v>
      </c>
    </row>
    <row r="17" spans="1:13" ht="20">
      <c r="A17" s="78" t="s">
        <v>315</v>
      </c>
      <c r="B17" s="78" t="s">
        <v>297</v>
      </c>
      <c r="C17" s="78">
        <v>21</v>
      </c>
      <c r="D17" s="78">
        <f>Table97[[#This Row],[2020]]/C91</f>
        <v>4.8279191668390922E-4</v>
      </c>
      <c r="F17" s="16" t="s">
        <v>276</v>
      </c>
      <c r="G17" s="17">
        <v>13218</v>
      </c>
      <c r="H17" s="80">
        <f>Table98[[#This Row],[BIDEN VOTES]]/C91</f>
        <v>0.30388302641561488</v>
      </c>
      <c r="I17" s="18">
        <v>0.53700000000000003</v>
      </c>
      <c r="J17" s="17">
        <v>10923</v>
      </c>
      <c r="K17" s="80">
        <f>Table98[[#This Row],[TRUMP VOTES]]/C91</f>
        <v>0.2511207669494448</v>
      </c>
      <c r="L17" s="18">
        <v>0.44400000000000001</v>
      </c>
      <c r="M17" s="80">
        <f>1-(Table98[[#This Row],[NbP]]+Table98[[#This Row],[NbP2]])</f>
        <v>0.44499620663494033</v>
      </c>
    </row>
    <row r="18" spans="1:13" ht="20">
      <c r="A18" s="78" t="s">
        <v>2522</v>
      </c>
      <c r="B18" s="78" t="s">
        <v>297</v>
      </c>
      <c r="C18" s="78">
        <v>36</v>
      </c>
      <c r="D18" s="78">
        <f>Table97[[#This Row],[2020]]/C92</f>
        <v>7.9948477647738124E-4</v>
      </c>
      <c r="F18" s="16" t="s">
        <v>2557</v>
      </c>
      <c r="G18" s="17">
        <v>9897</v>
      </c>
      <c r="H18" s="80">
        <f>Table98[[#This Row],[BIDEN VOTES]]/C92</f>
        <v>0.21979168979990674</v>
      </c>
      <c r="I18" s="18">
        <v>0.42099999999999999</v>
      </c>
      <c r="J18" s="17">
        <v>13173</v>
      </c>
      <c r="K18" s="80">
        <f>Table98[[#This Row],[TRUMP VOTES]]/C92</f>
        <v>0.29254480445934844</v>
      </c>
      <c r="L18" s="18">
        <v>0.56000000000000005</v>
      </c>
      <c r="M18" s="80">
        <f>1-(Table98[[#This Row],[NbP]]+Table98[[#This Row],[NbP2]])</f>
        <v>0.4876635057407448</v>
      </c>
    </row>
    <row r="19" spans="1:13" ht="20">
      <c r="A19" s="78" t="s">
        <v>3100</v>
      </c>
      <c r="B19" s="78" t="s">
        <v>297</v>
      </c>
      <c r="C19" s="78">
        <v>153</v>
      </c>
      <c r="D19" s="78">
        <f>Table97[[#This Row],[2020]]/C93</f>
        <v>1.4692889793723352E-3</v>
      </c>
      <c r="F19" s="16" t="s">
        <v>3138</v>
      </c>
      <c r="G19" s="17">
        <v>31620</v>
      </c>
      <c r="H19" s="80">
        <f>Table98[[#This Row],[BIDEN VOTES]]/C93</f>
        <v>0.30365305573694928</v>
      </c>
      <c r="I19" s="18">
        <v>0.54400000000000004</v>
      </c>
      <c r="J19" s="17">
        <v>25341</v>
      </c>
      <c r="K19" s="80">
        <f>Table98[[#This Row],[TRUMP VOTES]]/C93</f>
        <v>0.24335458840702184</v>
      </c>
      <c r="L19" s="18">
        <v>0.436</v>
      </c>
      <c r="M19" s="80">
        <f>1-(Table98[[#This Row],[NbP]]+Table98[[#This Row],[NbP2]])</f>
        <v>0.45299235585602893</v>
      </c>
    </row>
    <row r="20" spans="1:13" ht="20">
      <c r="A20" s="78" t="s">
        <v>2807</v>
      </c>
      <c r="B20" s="78" t="s">
        <v>297</v>
      </c>
      <c r="C20" s="78">
        <v>1</v>
      </c>
      <c r="D20" s="78">
        <f>Table97[[#This Row],[2020]]/C94</f>
        <v>2.3191094619666049E-4</v>
      </c>
      <c r="F20" s="16" t="s">
        <v>2834</v>
      </c>
      <c r="G20" s="19">
        <v>781</v>
      </c>
      <c r="H20" s="80">
        <f>Table98[[#This Row],[BIDEN VOTES]]/C94</f>
        <v>0.18112244897959184</v>
      </c>
      <c r="I20" s="18">
        <v>0.26600000000000001</v>
      </c>
      <c r="J20" s="17">
        <v>2133</v>
      </c>
      <c r="K20" s="80">
        <f>Table98[[#This Row],[TRUMP VOTES]]/C94</f>
        <v>0.49466604823747679</v>
      </c>
      <c r="L20" s="18">
        <v>0.72599999999999998</v>
      </c>
      <c r="M20" s="80">
        <f>1-(Table98[[#This Row],[NbP]]+Table98[[#This Row],[NbP2]])</f>
        <v>0.32421150278293132</v>
      </c>
    </row>
    <row r="21" spans="1:13" ht="20">
      <c r="A21" s="78" t="s">
        <v>3101</v>
      </c>
      <c r="B21" s="78" t="s">
        <v>297</v>
      </c>
      <c r="C21" s="78">
        <v>85</v>
      </c>
      <c r="D21" s="78">
        <f>Table97[[#This Row],[2020]]/C95</f>
        <v>8.2802423675648292E-4</v>
      </c>
      <c r="F21" s="16" t="s">
        <v>3139</v>
      </c>
      <c r="G21" s="17">
        <v>20588</v>
      </c>
      <c r="H21" s="80">
        <f>Table98[[#This Row],[BIDEN VOTES]]/C95</f>
        <v>0.20055721160402906</v>
      </c>
      <c r="I21" s="18">
        <v>0.36</v>
      </c>
      <c r="J21" s="17">
        <v>35754</v>
      </c>
      <c r="K21" s="80">
        <f>Table98[[#This Row],[TRUMP VOTES]]/C95</f>
        <v>0.34829621836460345</v>
      </c>
      <c r="L21" s="18">
        <v>0.625</v>
      </c>
      <c r="M21" s="80">
        <f>1-(Table98[[#This Row],[NbP]]+Table98[[#This Row],[NbP2]])</f>
        <v>0.45114657003136749</v>
      </c>
    </row>
    <row r="22" spans="1:13" ht="20">
      <c r="A22" s="78" t="s">
        <v>3102</v>
      </c>
      <c r="B22" s="78" t="s">
        <v>297</v>
      </c>
      <c r="C22" s="78">
        <v>15</v>
      </c>
      <c r="D22" s="78">
        <f>Table97[[#This Row],[2020]]/C96</f>
        <v>1.6661112962345886E-3</v>
      </c>
      <c r="F22" s="16" t="s">
        <v>2775</v>
      </c>
      <c r="G22" s="17">
        <v>1721</v>
      </c>
      <c r="H22" s="80">
        <f>Table98[[#This Row],[BIDEN VOTES]]/C96</f>
        <v>0.19115850272131513</v>
      </c>
      <c r="I22" s="18">
        <v>0.34100000000000003</v>
      </c>
      <c r="J22" s="17">
        <v>3285</v>
      </c>
      <c r="K22" s="80">
        <f>Table98[[#This Row],[TRUMP VOTES]]/C96</f>
        <v>0.36487837387537486</v>
      </c>
      <c r="L22" s="18">
        <v>0.65100000000000002</v>
      </c>
      <c r="M22" s="80">
        <f>1-(Table98[[#This Row],[NbP]]+Table98[[#This Row],[NbP2]])</f>
        <v>0.44396312340331001</v>
      </c>
    </row>
    <row r="23" spans="1:13" ht="20">
      <c r="A23" s="78" t="s">
        <v>313</v>
      </c>
      <c r="B23" s="78" t="s">
        <v>297</v>
      </c>
      <c r="C23" s="78">
        <v>63</v>
      </c>
      <c r="D23" s="78">
        <f>Table97[[#This Row],[2020]]/C97</f>
        <v>1.2216404886561956E-3</v>
      </c>
      <c r="F23" s="16" t="s">
        <v>278</v>
      </c>
      <c r="G23" s="17">
        <v>10998</v>
      </c>
      <c r="H23" s="80">
        <f>Table98[[#This Row],[BIDEN VOTES]]/C97</f>
        <v>0.21326352530541012</v>
      </c>
      <c r="I23" s="18">
        <v>0.43</v>
      </c>
      <c r="J23" s="17">
        <v>14142</v>
      </c>
      <c r="K23" s="80">
        <f>Table98[[#This Row],[TRUMP VOTES]]/C97</f>
        <v>0.27422920302501452</v>
      </c>
      <c r="L23" s="18">
        <v>0.55300000000000005</v>
      </c>
      <c r="M23" s="80">
        <f>1-(Table98[[#This Row],[NbP]]+Table98[[#This Row],[NbP2]])</f>
        <v>0.51250727166957533</v>
      </c>
    </row>
    <row r="24" spans="1:13" ht="20">
      <c r="A24" s="78" t="s">
        <v>1596</v>
      </c>
      <c r="B24" s="78" t="s">
        <v>297</v>
      </c>
      <c r="C24" s="78">
        <v>17</v>
      </c>
      <c r="D24" s="78">
        <f>Table97[[#This Row],[2020]]/C98</f>
        <v>4.6208208752378363E-4</v>
      </c>
      <c r="F24" s="16" t="s">
        <v>1643</v>
      </c>
      <c r="G24" s="17">
        <v>10851</v>
      </c>
      <c r="H24" s="80">
        <f>Table98[[#This Row],[BIDEN VOTES]]/C98</f>
        <v>0.2949442783365045</v>
      </c>
      <c r="I24" s="18">
        <v>0.50800000000000001</v>
      </c>
      <c r="J24" s="17">
        <v>10169</v>
      </c>
      <c r="K24" s="80">
        <f>Table98[[#This Row],[TRUMP VOTES]]/C98</f>
        <v>0.27640663223702094</v>
      </c>
      <c r="L24" s="18">
        <v>0.47599999999999998</v>
      </c>
      <c r="M24" s="80">
        <f>1-(Table98[[#This Row],[NbP]]+Table98[[#This Row],[NbP2]])</f>
        <v>0.42864908942647451</v>
      </c>
    </row>
    <row r="25" spans="1:13" ht="20">
      <c r="A25" s="78" t="s">
        <v>3103</v>
      </c>
      <c r="B25" s="78" t="s">
        <v>297</v>
      </c>
      <c r="C25" s="78">
        <v>32</v>
      </c>
      <c r="D25" s="78">
        <f>Table97[[#This Row],[2020]]/C99</f>
        <v>1.7014941245281012E-3</v>
      </c>
      <c r="F25" s="16" t="s">
        <v>3140</v>
      </c>
      <c r="G25" s="17">
        <v>3344</v>
      </c>
      <c r="H25" s="80">
        <f>Table98[[#This Row],[BIDEN VOTES]]/C99</f>
        <v>0.17780613601318657</v>
      </c>
      <c r="I25" s="18">
        <v>0.314</v>
      </c>
      <c r="J25" s="17">
        <v>7168</v>
      </c>
      <c r="K25" s="80">
        <f>Table98[[#This Row],[TRUMP VOTES]]/C99</f>
        <v>0.38113468389429467</v>
      </c>
      <c r="L25" s="18">
        <v>0.67300000000000004</v>
      </c>
      <c r="M25" s="80">
        <f>1-(Table98[[#This Row],[NbP]]+Table98[[#This Row],[NbP2]])</f>
        <v>0.44105918009251877</v>
      </c>
    </row>
    <row r="26" spans="1:13" ht="20">
      <c r="A26" s="78" t="s">
        <v>19</v>
      </c>
      <c r="B26" s="78" t="s">
        <v>297</v>
      </c>
      <c r="C26" s="78">
        <v>9</v>
      </c>
      <c r="D26" s="78">
        <f>Table97[[#This Row],[2020]]/C100</f>
        <v>3.8083953960731212E-4</v>
      </c>
      <c r="F26" s="16" t="s">
        <v>1549</v>
      </c>
      <c r="G26" s="17">
        <v>7828</v>
      </c>
      <c r="H26" s="80">
        <f>Table98[[#This Row],[BIDEN VOTES]]/C100</f>
        <v>0.33124576844955994</v>
      </c>
      <c r="I26" s="18">
        <v>0.56000000000000005</v>
      </c>
      <c r="J26" s="17">
        <v>5909</v>
      </c>
      <c r="K26" s="80">
        <f>Table98[[#This Row],[TRUMP VOTES]]/C100</f>
        <v>0.25004231550440081</v>
      </c>
      <c r="L26" s="18">
        <v>0.42299999999999999</v>
      </c>
      <c r="M26" s="80">
        <f>1-(Table98[[#This Row],[NbP]]+Table98[[#This Row],[NbP2]])</f>
        <v>0.4187119160460393</v>
      </c>
    </row>
    <row r="27" spans="1:13" ht="20">
      <c r="A27" s="78" t="s">
        <v>1776</v>
      </c>
      <c r="B27" s="78" t="s">
        <v>297</v>
      </c>
      <c r="C27" s="78">
        <v>14</v>
      </c>
      <c r="D27" s="78">
        <f>Table97[[#This Row],[2020]]/C101</f>
        <v>2.4652227504842403E-3</v>
      </c>
      <c r="F27" s="16" t="s">
        <v>1841</v>
      </c>
      <c r="G27" s="17">
        <v>1533</v>
      </c>
      <c r="H27" s="80">
        <f>Table98[[#This Row],[BIDEN VOTES]]/C101</f>
        <v>0.26994189117802431</v>
      </c>
      <c r="I27" s="18">
        <v>0.38300000000000001</v>
      </c>
      <c r="J27" s="17">
        <v>2438</v>
      </c>
      <c r="K27" s="80">
        <f>Table98[[#This Row],[TRUMP VOTES]]/C101</f>
        <v>0.42930093326289842</v>
      </c>
      <c r="L27" s="18">
        <v>0.60899999999999999</v>
      </c>
      <c r="M27" s="80">
        <f>1-(Table98[[#This Row],[NbP]]+Table98[[#This Row],[NbP2]])</f>
        <v>0.30075717555907722</v>
      </c>
    </row>
    <row r="28" spans="1:13" ht="20">
      <c r="A28" s="78" t="s">
        <v>114</v>
      </c>
      <c r="B28" s="78" t="s">
        <v>297</v>
      </c>
      <c r="C28" s="78">
        <v>36</v>
      </c>
      <c r="D28" s="78">
        <f>Table97[[#This Row],[2020]]/C102</f>
        <v>1.7513134851138354E-3</v>
      </c>
      <c r="F28" s="16" t="s">
        <v>213</v>
      </c>
      <c r="G28" s="17">
        <v>4256</v>
      </c>
      <c r="H28" s="80">
        <f>Table98[[#This Row],[BIDEN VOTES]]/C102</f>
        <v>0.20704417201790232</v>
      </c>
      <c r="I28" s="18">
        <v>0.41799999999999998</v>
      </c>
      <c r="J28" s="17">
        <v>5791</v>
      </c>
      <c r="K28" s="80">
        <f>Table98[[#This Row],[TRUMP VOTES]]/C102</f>
        <v>0.2817182331192839</v>
      </c>
      <c r="L28" s="18">
        <v>0.56899999999999995</v>
      </c>
      <c r="M28" s="80">
        <f>1-(Table98[[#This Row],[NbP]]+Table98[[#This Row],[NbP2]])</f>
        <v>0.51123759486281384</v>
      </c>
    </row>
    <row r="29" spans="1:13" ht="20">
      <c r="A29" s="78" t="s">
        <v>115</v>
      </c>
      <c r="B29" s="78" t="s">
        <v>297</v>
      </c>
      <c r="C29" s="78">
        <v>41</v>
      </c>
      <c r="D29" s="78">
        <f>Table97[[#This Row],[2020]]/C103</f>
        <v>4.8327970107382392E-4</v>
      </c>
      <c r="F29" s="16" t="s">
        <v>214</v>
      </c>
      <c r="G29" s="17">
        <v>19904</v>
      </c>
      <c r="H29" s="80">
        <f>Table98[[#This Row],[BIDEN VOTES]]/C103</f>
        <v>0.23461461390666807</v>
      </c>
      <c r="I29" s="18">
        <v>0.41599999999999998</v>
      </c>
      <c r="J29" s="17">
        <v>27208</v>
      </c>
      <c r="K29" s="80">
        <f>Table98[[#This Row],[TRUMP VOTES]]/C103</f>
        <v>0.32070912455650247</v>
      </c>
      <c r="L29" s="18">
        <v>0.56899999999999995</v>
      </c>
      <c r="M29" s="80">
        <f>1-(Table98[[#This Row],[NbP]]+Table98[[#This Row],[NbP2]])</f>
        <v>0.44467626153682949</v>
      </c>
    </row>
    <row r="30" spans="1:13" ht="20">
      <c r="A30" s="78" t="s">
        <v>3104</v>
      </c>
      <c r="B30" s="78" t="s">
        <v>297</v>
      </c>
      <c r="C30" s="78">
        <v>35</v>
      </c>
      <c r="D30" s="78">
        <f>Table97[[#This Row],[2020]]/C104</f>
        <v>1.3156410931097996E-3</v>
      </c>
      <c r="F30" s="16" t="s">
        <v>3141</v>
      </c>
      <c r="G30" s="17">
        <v>4746</v>
      </c>
      <c r="H30" s="80">
        <f>Table98[[#This Row],[BIDEN VOTES]]/C104</f>
        <v>0.17840093222568884</v>
      </c>
      <c r="I30" s="18">
        <v>0.34699999999999998</v>
      </c>
      <c r="J30" s="17">
        <v>8749</v>
      </c>
      <c r="K30" s="80">
        <f>Table98[[#This Row],[TRUMP VOTES]]/C104</f>
        <v>0.3288726835319325</v>
      </c>
      <c r="L30" s="18">
        <v>0.63900000000000001</v>
      </c>
      <c r="M30" s="80">
        <f>1-(Table98[[#This Row],[NbP]]+Table98[[#This Row],[NbP2]])</f>
        <v>0.49272638424237869</v>
      </c>
    </row>
    <row r="31" spans="1:13" ht="20">
      <c r="A31" s="78" t="s">
        <v>3105</v>
      </c>
      <c r="B31" s="78" t="s">
        <v>297</v>
      </c>
      <c r="C31" s="78">
        <v>182</v>
      </c>
      <c r="D31" s="78">
        <f>Table97[[#This Row],[2020]]/C105</f>
        <v>1.0769358217257009E-3</v>
      </c>
      <c r="F31" s="16" t="s">
        <v>3142</v>
      </c>
      <c r="G31" s="17">
        <v>42193</v>
      </c>
      <c r="H31" s="80">
        <f>Table98[[#This Row],[BIDEN VOTES]]/C105</f>
        <v>0.24966567651688185</v>
      </c>
      <c r="I31" s="18">
        <v>0.47699999999999998</v>
      </c>
      <c r="J31" s="17">
        <v>44972</v>
      </c>
      <c r="K31" s="80">
        <f>Table98[[#This Row],[TRUMP VOTES]]/C105</f>
        <v>0.26610965810246273</v>
      </c>
      <c r="L31" s="18">
        <v>0.50800000000000001</v>
      </c>
      <c r="M31" s="80">
        <f>1-(Table98[[#This Row],[NbP]]+Table98[[#This Row],[NbP2]])</f>
        <v>0.48422466538065545</v>
      </c>
    </row>
    <row r="32" spans="1:13" ht="20">
      <c r="A32" s="78" t="s">
        <v>3106</v>
      </c>
      <c r="B32" s="78" t="s">
        <v>297</v>
      </c>
      <c r="C32" s="78">
        <v>2</v>
      </c>
      <c r="D32" s="78">
        <f>Table97[[#This Row],[2020]]/C106</f>
        <v>9.8048828316501618E-5</v>
      </c>
      <c r="F32" s="16" t="s">
        <v>3143</v>
      </c>
      <c r="G32" s="17">
        <v>3976</v>
      </c>
      <c r="H32" s="80">
        <f>Table98[[#This Row],[BIDEN VOTES]]/C106</f>
        <v>0.19492107069320522</v>
      </c>
      <c r="I32" s="18">
        <v>0.32900000000000001</v>
      </c>
      <c r="J32" s="17">
        <v>7927</v>
      </c>
      <c r="K32" s="80">
        <f>Table98[[#This Row],[TRUMP VOTES]]/C106</f>
        <v>0.38861653103245414</v>
      </c>
      <c r="L32" s="18">
        <v>0.65700000000000003</v>
      </c>
      <c r="M32" s="80">
        <f>1-(Table98[[#This Row],[NbP]]+Table98[[#This Row],[NbP2]])</f>
        <v>0.41646239827434062</v>
      </c>
    </row>
    <row r="33" spans="1:13" ht="20">
      <c r="A33" s="78" t="s">
        <v>3107</v>
      </c>
      <c r="B33" s="78" t="s">
        <v>297</v>
      </c>
      <c r="C33" s="78">
        <v>28</v>
      </c>
      <c r="D33" s="78">
        <f>Table97[[#This Row],[2020]]/C107</f>
        <v>2.369507819375804E-4</v>
      </c>
      <c r="F33" s="16" t="s">
        <v>3144</v>
      </c>
      <c r="G33" s="17">
        <v>37846</v>
      </c>
      <c r="H33" s="80">
        <f>Table98[[#This Row],[BIDEN VOTES]]/C107</f>
        <v>0.32027283190034528</v>
      </c>
      <c r="I33" s="18">
        <v>0.55900000000000005</v>
      </c>
      <c r="J33" s="17">
        <v>28684</v>
      </c>
      <c r="K33" s="80">
        <f>Table98[[#This Row],[TRUMP VOTES]]/C107</f>
        <v>0.24273915103919844</v>
      </c>
      <c r="L33" s="18">
        <v>0.42399999999999999</v>
      </c>
      <c r="M33" s="80">
        <f>1-(Table98[[#This Row],[NbP]]+Table98[[#This Row],[NbP2]])</f>
        <v>0.43698801706045631</v>
      </c>
    </row>
    <row r="34" spans="1:13" ht="20">
      <c r="A34" s="78" t="s">
        <v>2025</v>
      </c>
      <c r="B34" s="78" t="s">
        <v>297</v>
      </c>
      <c r="C34" s="78">
        <v>8</v>
      </c>
      <c r="D34" s="78">
        <f>Table97[[#This Row],[2020]]/C108</f>
        <v>4.7955880589857329E-4</v>
      </c>
      <c r="F34" s="16" t="s">
        <v>2063</v>
      </c>
      <c r="G34" s="17">
        <v>3647</v>
      </c>
      <c r="H34" s="80">
        <f>Table98[[#This Row],[BIDEN VOTES]]/C108</f>
        <v>0.21861887063901211</v>
      </c>
      <c r="I34" s="18">
        <v>0.42699999999999999</v>
      </c>
      <c r="J34" s="17">
        <v>4821</v>
      </c>
      <c r="K34" s="80">
        <f>Table98[[#This Row],[TRUMP VOTES]]/C108</f>
        <v>0.28899412540462777</v>
      </c>
      <c r="L34" s="18">
        <v>0.56399999999999995</v>
      </c>
      <c r="M34" s="80">
        <f>1-(Table98[[#This Row],[NbP]]+Table98[[#This Row],[NbP2]])</f>
        <v>0.49238700395636015</v>
      </c>
    </row>
    <row r="35" spans="1:13" ht="20">
      <c r="A35" s="78" t="s">
        <v>3108</v>
      </c>
      <c r="B35" s="78" t="s">
        <v>297</v>
      </c>
      <c r="C35" s="78">
        <v>28</v>
      </c>
      <c r="D35" s="78">
        <f>Table97[[#This Row],[2020]]/C109</f>
        <v>1.4608441592320134E-3</v>
      </c>
      <c r="F35" s="16" t="s">
        <v>3145</v>
      </c>
      <c r="G35" s="17">
        <v>3704</v>
      </c>
      <c r="H35" s="80">
        <f>Table98[[#This Row],[BIDEN VOTES]]/C109</f>
        <v>0.19324881306412062</v>
      </c>
      <c r="I35" s="18">
        <v>0.33200000000000002</v>
      </c>
      <c r="J35" s="17">
        <v>7330</v>
      </c>
      <c r="K35" s="80">
        <f>Table98[[#This Row],[TRUMP VOTES]]/C109</f>
        <v>0.38242813168466633</v>
      </c>
      <c r="L35" s="18">
        <v>0.65700000000000003</v>
      </c>
      <c r="M35" s="80">
        <f>1-(Table98[[#This Row],[NbP]]+Table98[[#This Row],[NbP2]])</f>
        <v>0.42432305525121305</v>
      </c>
    </row>
    <row r="36" spans="1:13" ht="20">
      <c r="A36" s="78" t="s">
        <v>122</v>
      </c>
      <c r="B36" s="78" t="s">
        <v>297</v>
      </c>
      <c r="C36" s="78">
        <v>28</v>
      </c>
      <c r="D36" s="78">
        <f>Table97[[#This Row],[2020]]/C110</f>
        <v>1.0113049445588183E-3</v>
      </c>
      <c r="F36" s="16" t="s">
        <v>221</v>
      </c>
      <c r="G36" s="17">
        <v>6261</v>
      </c>
      <c r="H36" s="80">
        <f>Table98[[#This Row],[BIDEN VOTES]]/C110</f>
        <v>0.2261350092100986</v>
      </c>
      <c r="I36" s="18">
        <v>0.38</v>
      </c>
      <c r="J36" s="17">
        <v>10017</v>
      </c>
      <c r="K36" s="80">
        <f>Table98[[#This Row],[TRUMP VOTES]]/C110</f>
        <v>0.36179434391591719</v>
      </c>
      <c r="L36" s="18">
        <v>0.60699999999999998</v>
      </c>
      <c r="M36" s="80">
        <f>1-(Table98[[#This Row],[NbP]]+Table98[[#This Row],[NbP2]])</f>
        <v>0.4120706468739842</v>
      </c>
    </row>
    <row r="37" spans="1:13" ht="20">
      <c r="A37" s="78" t="s">
        <v>3109</v>
      </c>
      <c r="B37" s="78" t="s">
        <v>297</v>
      </c>
      <c r="C37" s="78">
        <v>93</v>
      </c>
      <c r="D37" s="78">
        <f>Table97[[#This Row],[2020]]/C111</f>
        <v>1.1775580232219506E-3</v>
      </c>
      <c r="F37" s="16" t="s">
        <v>3146</v>
      </c>
      <c r="G37" s="17">
        <v>16818</v>
      </c>
      <c r="H37" s="80">
        <f>Table98[[#This Row],[BIDEN VOTES]]/C111</f>
        <v>0.21294807348975017</v>
      </c>
      <c r="I37" s="18">
        <v>0.376</v>
      </c>
      <c r="J37" s="17">
        <v>27218</v>
      </c>
      <c r="K37" s="80">
        <f>Table98[[#This Row],[TRUMP VOTES]]/C111</f>
        <v>0.34463198146295759</v>
      </c>
      <c r="L37" s="18">
        <v>0.60799999999999998</v>
      </c>
      <c r="M37" s="80">
        <f>1-(Table98[[#This Row],[NbP]]+Table98[[#This Row],[NbP2]])</f>
        <v>0.44241994504729221</v>
      </c>
    </row>
    <row r="38" spans="1:13" ht="20">
      <c r="A38" s="78" t="s">
        <v>3110</v>
      </c>
      <c r="B38" s="78" t="s">
        <v>297</v>
      </c>
      <c r="C38" s="78">
        <v>93</v>
      </c>
      <c r="D38" s="78">
        <f>Table97[[#This Row],[2020]]/C112</f>
        <v>6.8642285123814443E-4</v>
      </c>
      <c r="F38" s="16" t="s">
        <v>3147</v>
      </c>
      <c r="G38" s="17">
        <v>30808</v>
      </c>
      <c r="H38" s="80">
        <f>Table98[[#This Row],[BIDEN VOTES]]/C112</f>
        <v>0.22739048603166404</v>
      </c>
      <c r="I38" s="18">
        <v>0.40200000000000002</v>
      </c>
      <c r="J38" s="17">
        <v>44624</v>
      </c>
      <c r="K38" s="80">
        <f>Table98[[#This Row],[TRUMP VOTES]]/C112</f>
        <v>0.3293648743403329</v>
      </c>
      <c r="L38" s="18">
        <v>0.58299999999999996</v>
      </c>
      <c r="M38" s="80">
        <f>1-(Table98[[#This Row],[NbP]]+Table98[[#This Row],[NbP2]])</f>
        <v>0.44324463962800309</v>
      </c>
    </row>
    <row r="39" spans="1:13" ht="20">
      <c r="A39" s="78" t="s">
        <v>3111</v>
      </c>
      <c r="B39" s="78" t="s">
        <v>297</v>
      </c>
      <c r="C39" s="78">
        <v>40</v>
      </c>
      <c r="D39" s="78">
        <f>Table97[[#This Row],[2020]]/C113</f>
        <v>9.9226036912085738E-4</v>
      </c>
      <c r="F39" s="16" t="s">
        <v>3148</v>
      </c>
      <c r="G39" s="17">
        <v>7366</v>
      </c>
      <c r="H39" s="80">
        <f>Table98[[#This Row],[BIDEN VOTES]]/C113</f>
        <v>0.18272474697360588</v>
      </c>
      <c r="I39" s="18">
        <v>0.32100000000000001</v>
      </c>
      <c r="J39" s="17">
        <v>15304</v>
      </c>
      <c r="K39" s="80">
        <f>Table98[[#This Row],[TRUMP VOTES]]/C113</f>
        <v>0.37963881722564002</v>
      </c>
      <c r="L39" s="18">
        <v>0.66600000000000004</v>
      </c>
      <c r="M39" s="80">
        <f>1-(Table98[[#This Row],[NbP]]+Table98[[#This Row],[NbP2]])</f>
        <v>0.43763643580075406</v>
      </c>
    </row>
    <row r="40" spans="1:13" ht="20">
      <c r="A40" s="78" t="s">
        <v>1788</v>
      </c>
      <c r="B40" s="78" t="s">
        <v>297</v>
      </c>
      <c r="C40" s="78">
        <v>11</v>
      </c>
      <c r="D40" s="78">
        <f>Table97[[#This Row],[2020]]/C114</f>
        <v>7.1521456436931077E-4</v>
      </c>
      <c r="F40" s="16" t="s">
        <v>1853</v>
      </c>
      <c r="G40" s="17">
        <v>3239</v>
      </c>
      <c r="H40" s="80">
        <f>Table98[[#This Row],[BIDEN VOTES]]/C114</f>
        <v>0.21059817945383616</v>
      </c>
      <c r="I40" s="18">
        <v>0.35799999999999998</v>
      </c>
      <c r="J40" s="17">
        <v>5719</v>
      </c>
      <c r="K40" s="80">
        <f>Table98[[#This Row],[TRUMP VOTES]]/C114</f>
        <v>0.37184655396618987</v>
      </c>
      <c r="L40" s="18">
        <v>0.63200000000000001</v>
      </c>
      <c r="M40" s="80">
        <f>1-(Table98[[#This Row],[NbP]]+Table98[[#This Row],[NbP2]])</f>
        <v>0.41755526657997399</v>
      </c>
    </row>
    <row r="41" spans="1:13" ht="20">
      <c r="A41" s="78" t="s">
        <v>1790</v>
      </c>
      <c r="B41" s="78" t="s">
        <v>297</v>
      </c>
      <c r="C41" s="78">
        <v>21</v>
      </c>
      <c r="D41" s="78">
        <f>Table97[[#This Row],[2020]]/C115</f>
        <v>4.5992115637319315E-3</v>
      </c>
      <c r="F41" s="16" t="s">
        <v>1855</v>
      </c>
      <c r="G41" s="17">
        <v>1303</v>
      </c>
      <c r="H41" s="80">
        <f>Table98[[#This Row],[BIDEN VOTES]]/C115</f>
        <v>0.28537012702584319</v>
      </c>
      <c r="I41" s="18">
        <v>0.81899999999999995</v>
      </c>
      <c r="J41" s="19">
        <v>278</v>
      </c>
      <c r="K41" s="80">
        <f>Table98[[#This Row],[TRUMP VOTES]]/C115</f>
        <v>6.0884800700832235E-2</v>
      </c>
      <c r="L41" s="18">
        <v>0.17499999999999999</v>
      </c>
      <c r="M41" s="80">
        <f>1-(Table98[[#This Row],[NbP]]+Table98[[#This Row],[NbP2]])</f>
        <v>0.65374507227332457</v>
      </c>
    </row>
    <row r="42" spans="1:13" ht="20">
      <c r="A42" s="78" t="s">
        <v>3112</v>
      </c>
      <c r="B42" s="78" t="s">
        <v>297</v>
      </c>
      <c r="C42" s="78">
        <v>555</v>
      </c>
      <c r="D42" s="78">
        <f>Table97[[#This Row],[2020]]/C116</f>
        <v>5.8471522788090769E-4</v>
      </c>
      <c r="F42" s="16" t="s">
        <v>3149</v>
      </c>
      <c r="G42" s="17">
        <v>317527</v>
      </c>
      <c r="H42" s="80">
        <f>Table98[[#This Row],[BIDEN VOTES]]/C116</f>
        <v>0.33452769759160539</v>
      </c>
      <c r="I42" s="18">
        <v>0.69399999999999995</v>
      </c>
      <c r="J42" s="17">
        <v>134482</v>
      </c>
      <c r="K42" s="80">
        <f>Table98[[#This Row],[TRUMP VOTES]]/C116</f>
        <v>0.14168229419077519</v>
      </c>
      <c r="L42" s="18">
        <v>0.29399999999999998</v>
      </c>
      <c r="M42" s="80">
        <f>1-(Table98[[#This Row],[NbP]]+Table98[[#This Row],[NbP2]])</f>
        <v>0.52379000821761945</v>
      </c>
    </row>
    <row r="43" spans="1:13" ht="20">
      <c r="A43" s="78" t="s">
        <v>132</v>
      </c>
      <c r="B43" s="78" t="s">
        <v>297</v>
      </c>
      <c r="C43" s="78">
        <v>56</v>
      </c>
      <c r="D43" s="78">
        <f>Table97[[#This Row],[2020]]/C117</f>
        <v>1.2133030007583144E-3</v>
      </c>
      <c r="F43" s="16" t="s">
        <v>231</v>
      </c>
      <c r="G43" s="17">
        <v>8433</v>
      </c>
      <c r="H43" s="80">
        <f>Table98[[#This Row],[BIDEN VOTES]]/C117</f>
        <v>0.18271043223919403</v>
      </c>
      <c r="I43" s="18">
        <v>0.374</v>
      </c>
      <c r="J43" s="17">
        <v>13775</v>
      </c>
      <c r="K43" s="80">
        <f>Table98[[#This Row],[TRUMP VOTES]]/C117</f>
        <v>0.29845087206153181</v>
      </c>
      <c r="L43" s="18">
        <v>0.61</v>
      </c>
      <c r="M43" s="80">
        <f>1-(Table98[[#This Row],[NbP]]+Table98[[#This Row],[NbP2]])</f>
        <v>0.5188386956992741</v>
      </c>
    </row>
    <row r="44" spans="1:13" ht="20">
      <c r="A44" s="78" t="s">
        <v>3113</v>
      </c>
      <c r="B44" s="78" t="s">
        <v>297</v>
      </c>
      <c r="C44" s="78">
        <v>38</v>
      </c>
      <c r="D44" s="78">
        <f>Table97[[#This Row],[2020]]/C118</f>
        <v>1.0034327964087669E-3</v>
      </c>
      <c r="F44" s="16" t="s">
        <v>3150</v>
      </c>
      <c r="G44" s="17">
        <v>6715</v>
      </c>
      <c r="H44" s="80">
        <f>Table98[[#This Row],[BIDEN VOTES]]/C118</f>
        <v>0.1773171375759176</v>
      </c>
      <c r="I44" s="18">
        <v>0.28899999999999998</v>
      </c>
      <c r="J44" s="17">
        <v>16226</v>
      </c>
      <c r="K44" s="80">
        <f>Table98[[#This Row],[TRUMP VOTES]]/C118</f>
        <v>0.42846580406654344</v>
      </c>
      <c r="L44" s="18">
        <v>0.69899999999999995</v>
      </c>
      <c r="M44" s="80">
        <f>1-(Table98[[#This Row],[NbP]]+Table98[[#This Row],[NbP2]])</f>
        <v>0.39421705835753895</v>
      </c>
    </row>
    <row r="45" spans="1:13" ht="20">
      <c r="A45" s="78" t="s">
        <v>3114</v>
      </c>
      <c r="B45" s="78" t="s">
        <v>297</v>
      </c>
      <c r="C45" s="78">
        <v>70</v>
      </c>
      <c r="D45" s="78">
        <f>Table97[[#This Row],[2020]]/C119</f>
        <v>1.9729425028184892E-3</v>
      </c>
      <c r="F45" s="16" t="s">
        <v>2369</v>
      </c>
      <c r="G45" s="17">
        <v>10105</v>
      </c>
      <c r="H45" s="80">
        <f>Table98[[#This Row],[BIDEN VOTES]]/C119</f>
        <v>0.28480834272829764</v>
      </c>
      <c r="I45" s="18">
        <v>0.41899999999999998</v>
      </c>
      <c r="J45" s="17">
        <v>13671</v>
      </c>
      <c r="K45" s="80">
        <f>Table98[[#This Row],[TRUMP VOTES]]/C119</f>
        <v>0.38531567080045098</v>
      </c>
      <c r="L45" s="18">
        <v>0.56699999999999995</v>
      </c>
      <c r="M45" s="80">
        <f>1-(Table98[[#This Row],[NbP]]+Table98[[#This Row],[NbP2]])</f>
        <v>0.32987598647125138</v>
      </c>
    </row>
    <row r="46" spans="1:13" ht="20">
      <c r="A46" s="78" t="s">
        <v>3115</v>
      </c>
      <c r="B46" s="78" t="s">
        <v>297</v>
      </c>
      <c r="C46" s="78">
        <v>66</v>
      </c>
      <c r="D46" s="78">
        <f>Table97[[#This Row],[2020]]/C120</f>
        <v>3.5326421487028243E-4</v>
      </c>
      <c r="F46" s="16" t="s">
        <v>3151</v>
      </c>
      <c r="G46" s="17">
        <v>47667</v>
      </c>
      <c r="H46" s="80">
        <f>Table98[[#This Row],[BIDEN VOTES]]/C120</f>
        <v>0.25513705045790536</v>
      </c>
      <c r="I46" s="18">
        <v>0.441</v>
      </c>
      <c r="J46" s="17">
        <v>58385</v>
      </c>
      <c r="K46" s="80">
        <f>Table98[[#This Row],[TRUMP VOTES]]/C120</f>
        <v>0.31250501795759761</v>
      </c>
      <c r="L46" s="18">
        <v>0.54100000000000004</v>
      </c>
      <c r="M46" s="80">
        <f>1-(Table98[[#This Row],[NbP]]+Table98[[#This Row],[NbP2]])</f>
        <v>0.43235793158449698</v>
      </c>
    </row>
    <row r="47" spans="1:13" ht="20">
      <c r="A47" s="78" t="s">
        <v>3116</v>
      </c>
      <c r="B47" s="78" t="s">
        <v>297</v>
      </c>
      <c r="C47" s="78">
        <v>31</v>
      </c>
      <c r="D47" s="78">
        <f>Table97[[#This Row],[2020]]/C121</f>
        <v>3.4761547000975568E-4</v>
      </c>
      <c r="F47" s="16" t="s">
        <v>3152</v>
      </c>
      <c r="G47" s="17">
        <v>26517</v>
      </c>
      <c r="H47" s="80">
        <f>Table98[[#This Row],[BIDEN VOTES]]/C121</f>
        <v>0.29734578768544162</v>
      </c>
      <c r="I47" s="18">
        <v>0.433</v>
      </c>
      <c r="J47" s="17">
        <v>33912</v>
      </c>
      <c r="K47" s="80">
        <f>Table98[[#This Row],[TRUMP VOTES]]/C121</f>
        <v>0.38026889738615594</v>
      </c>
      <c r="L47" s="18">
        <v>0.55400000000000005</v>
      </c>
      <c r="M47" s="80">
        <f>1-(Table98[[#This Row],[NbP]]+Table98[[#This Row],[NbP2]])</f>
        <v>0.32238531492840239</v>
      </c>
    </row>
    <row r="48" spans="1:13" ht="20">
      <c r="A48" s="78" t="s">
        <v>3117</v>
      </c>
      <c r="B48" s="78" t="s">
        <v>297</v>
      </c>
      <c r="C48" s="78">
        <v>6</v>
      </c>
      <c r="D48" s="78">
        <f>Table97[[#This Row],[2020]]/C122</f>
        <v>8.2633246109351324E-4</v>
      </c>
      <c r="F48" s="16" t="s">
        <v>3153</v>
      </c>
      <c r="G48" s="17">
        <v>1489</v>
      </c>
      <c r="H48" s="80">
        <f>Table98[[#This Row],[BIDEN VOTES]]/C122</f>
        <v>0.20506817242804021</v>
      </c>
      <c r="I48" s="18">
        <v>0.36</v>
      </c>
      <c r="J48" s="17">
        <v>2584</v>
      </c>
      <c r="K48" s="80">
        <f>Table98[[#This Row],[TRUMP VOTES]]/C122</f>
        <v>0.3558738465776064</v>
      </c>
      <c r="L48" s="18">
        <v>0.624</v>
      </c>
      <c r="M48" s="80">
        <f>1-(Table98[[#This Row],[NbP]]+Table98[[#This Row],[NbP2]])</f>
        <v>0.43905798099435334</v>
      </c>
    </row>
    <row r="49" spans="1:13" ht="20">
      <c r="A49" s="78" t="s">
        <v>1276</v>
      </c>
      <c r="B49" s="78" t="s">
        <v>297</v>
      </c>
      <c r="C49" s="78">
        <v>59</v>
      </c>
      <c r="D49" s="78">
        <f>Table97[[#This Row],[2020]]/C123</f>
        <v>1.393613000755858E-3</v>
      </c>
      <c r="F49" s="16" t="s">
        <v>1369</v>
      </c>
      <c r="G49" s="17">
        <v>9796</v>
      </c>
      <c r="H49" s="80">
        <f>Table98[[#This Row],[BIDEN VOTES]]/C123</f>
        <v>0.23138699924414211</v>
      </c>
      <c r="I49" s="18">
        <v>0.42099999999999999</v>
      </c>
      <c r="J49" s="17">
        <v>12815</v>
      </c>
      <c r="K49" s="80">
        <f>Table98[[#This Row],[TRUMP VOTES]]/C123</f>
        <v>0.30269746787603929</v>
      </c>
      <c r="L49" s="18">
        <v>0.55100000000000005</v>
      </c>
      <c r="M49" s="80">
        <f>1-(Table98[[#This Row],[NbP]]+Table98[[#This Row],[NbP2]])</f>
        <v>0.46591553287981857</v>
      </c>
    </row>
    <row r="50" spans="1:13" ht="20">
      <c r="A50" s="78" t="s">
        <v>140</v>
      </c>
      <c r="B50" s="78" t="s">
        <v>297</v>
      </c>
      <c r="C50" s="78">
        <v>35</v>
      </c>
      <c r="D50" s="78">
        <f>Table97[[#This Row],[2020]]/C124</f>
        <v>8.0369239247743917E-4</v>
      </c>
      <c r="F50" s="16" t="s">
        <v>239</v>
      </c>
      <c r="G50" s="17">
        <v>9370</v>
      </c>
      <c r="H50" s="80">
        <f>Table98[[#This Row],[BIDEN VOTES]]/C124</f>
        <v>0.21515993478610301</v>
      </c>
      <c r="I50" s="18">
        <v>0.35499999999999998</v>
      </c>
      <c r="J50" s="17">
        <v>16611</v>
      </c>
      <c r="K50" s="80">
        <f>Table98[[#This Row],[TRUMP VOTES]]/C124</f>
        <v>0.38143240946979262</v>
      </c>
      <c r="L50" s="18">
        <v>0.63</v>
      </c>
      <c r="M50" s="80">
        <f>1-(Table98[[#This Row],[NbP]]+Table98[[#This Row],[NbP2]])</f>
        <v>0.40340765574410442</v>
      </c>
    </row>
    <row r="51" spans="1:13" ht="20">
      <c r="A51" s="78" t="s">
        <v>2606</v>
      </c>
      <c r="B51" s="78" t="s">
        <v>297</v>
      </c>
      <c r="C51" s="78">
        <v>103</v>
      </c>
      <c r="D51" s="78">
        <f>Table97[[#This Row],[2020]]/C125</f>
        <v>1.4543503431137218E-3</v>
      </c>
      <c r="F51" s="16" t="s">
        <v>2639</v>
      </c>
      <c r="G51" s="17">
        <v>20428</v>
      </c>
      <c r="H51" s="80">
        <f>Table98[[#This Row],[BIDEN VOTES]]/C125</f>
        <v>0.28844144474880684</v>
      </c>
      <c r="I51" s="18">
        <v>0.504</v>
      </c>
      <c r="J51" s="17">
        <v>19299</v>
      </c>
      <c r="K51" s="80">
        <f>Table98[[#This Row],[TRUMP VOTES]]/C125</f>
        <v>0.27250007059953124</v>
      </c>
      <c r="L51" s="18">
        <v>0.47699999999999998</v>
      </c>
      <c r="M51" s="80">
        <f>1-(Table98[[#This Row],[NbP]]+Table98[[#This Row],[NbP2]])</f>
        <v>0.43905848465166186</v>
      </c>
    </row>
    <row r="52" spans="1:13" ht="20">
      <c r="A52" s="78" t="s">
        <v>3118</v>
      </c>
      <c r="B52" s="78" t="s">
        <v>297</v>
      </c>
      <c r="C52" s="78">
        <v>11</v>
      </c>
      <c r="D52" s="78">
        <f>Table97[[#This Row],[2020]]/C126</f>
        <v>8.2390832147404686E-4</v>
      </c>
      <c r="F52" s="16" t="s">
        <v>3154</v>
      </c>
      <c r="G52" s="17">
        <v>3032</v>
      </c>
      <c r="H52" s="80">
        <f>Table98[[#This Row],[BIDEN VOTES]]/C126</f>
        <v>0.22709909370084638</v>
      </c>
      <c r="I52" s="18">
        <v>0.35499999999999998</v>
      </c>
      <c r="J52" s="17">
        <v>5394</v>
      </c>
      <c r="K52" s="80">
        <f>Table98[[#This Row],[TRUMP VOTES]]/C126</f>
        <v>0.40401468054827355</v>
      </c>
      <c r="L52" s="18">
        <v>0.63100000000000001</v>
      </c>
      <c r="M52" s="80">
        <f>1-(Table98[[#This Row],[NbP]]+Table98[[#This Row],[NbP2]])</f>
        <v>0.36888622575088004</v>
      </c>
    </row>
    <row r="53" spans="1:13" ht="20">
      <c r="A53" s="78" t="s">
        <v>3119</v>
      </c>
      <c r="B53" s="78" t="s">
        <v>297</v>
      </c>
      <c r="C53" s="78">
        <v>193</v>
      </c>
      <c r="D53" s="78">
        <f>Table97[[#This Row],[2020]]/C127</f>
        <v>9.8540276423345367E-4</v>
      </c>
      <c r="F53" s="16" t="s">
        <v>3155</v>
      </c>
      <c r="G53" s="17">
        <v>50159</v>
      </c>
      <c r="H53" s="80">
        <f>Table98[[#This Row],[BIDEN VOTES]]/C127</f>
        <v>0.25609749871080728</v>
      </c>
      <c r="I53" s="18">
        <v>0.47199999999999998</v>
      </c>
      <c r="J53" s="17">
        <v>54479</v>
      </c>
      <c r="K53" s="80">
        <f>Table98[[#This Row],[TRUMP VOTES]]/C127</f>
        <v>0.2781541823454628</v>
      </c>
      <c r="L53" s="18">
        <v>0.51300000000000001</v>
      </c>
      <c r="M53" s="80">
        <f>1-(Table98[[#This Row],[NbP]]+Table98[[#This Row],[NbP2]])</f>
        <v>0.46574831894372992</v>
      </c>
    </row>
    <row r="54" spans="1:13" ht="20">
      <c r="A54" s="78" t="s">
        <v>2538</v>
      </c>
      <c r="B54" s="78" t="s">
        <v>297</v>
      </c>
      <c r="C54" s="78">
        <v>14</v>
      </c>
      <c r="D54" s="78">
        <f>Table97[[#This Row],[2020]]/C128</f>
        <v>8.0422794117647055E-4</v>
      </c>
      <c r="F54" s="16" t="s">
        <v>2573</v>
      </c>
      <c r="G54" s="17">
        <v>3995</v>
      </c>
      <c r="H54" s="80">
        <f>Table98[[#This Row],[BIDEN VOTES]]/C128</f>
        <v>0.2294921875</v>
      </c>
      <c r="I54" s="18">
        <v>0.44400000000000001</v>
      </c>
      <c r="J54" s="17">
        <v>4871</v>
      </c>
      <c r="K54" s="80">
        <f>Table98[[#This Row],[TRUMP VOTES]]/C128</f>
        <v>0.27981387867647056</v>
      </c>
      <c r="L54" s="18">
        <v>0.54100000000000004</v>
      </c>
      <c r="M54" s="80">
        <f>1-(Table98[[#This Row],[NbP]]+Table98[[#This Row],[NbP2]])</f>
        <v>0.49069393382352944</v>
      </c>
    </row>
    <row r="55" spans="1:13" ht="20">
      <c r="A55" s="78" t="s">
        <v>1925</v>
      </c>
      <c r="B55" s="78" t="s">
        <v>297</v>
      </c>
      <c r="C55" s="78">
        <v>170</v>
      </c>
      <c r="D55" s="78">
        <f>Table97[[#This Row],[2020]]/C129</f>
        <v>1.0459478748800237E-3</v>
      </c>
      <c r="F55" s="16" t="s">
        <v>1990</v>
      </c>
      <c r="G55" s="17">
        <v>46658</v>
      </c>
      <c r="H55" s="80">
        <f>Table98[[#This Row],[BIDEN VOTES]]/C129</f>
        <v>0.28706962321265966</v>
      </c>
      <c r="I55" s="18">
        <v>0.54800000000000004</v>
      </c>
      <c r="J55" s="17">
        <v>37138</v>
      </c>
      <c r="K55" s="80">
        <f>Table98[[#This Row],[TRUMP VOTES]]/C129</f>
        <v>0.22849654221937835</v>
      </c>
      <c r="L55" s="18">
        <v>0.436</v>
      </c>
      <c r="M55" s="80">
        <f>1-(Table98[[#This Row],[NbP]]+Table98[[#This Row],[NbP2]])</f>
        <v>0.48443383456796196</v>
      </c>
    </row>
    <row r="56" spans="1:13" ht="20">
      <c r="A56" s="78" t="s">
        <v>738</v>
      </c>
      <c r="B56" s="78" t="s">
        <v>297</v>
      </c>
      <c r="C56" s="78">
        <v>19</v>
      </c>
      <c r="D56" s="78">
        <f>Table97[[#This Row],[2020]]/C130</f>
        <v>1.3500071053005542E-3</v>
      </c>
      <c r="F56" s="16" t="s">
        <v>509</v>
      </c>
      <c r="G56" s="17">
        <v>2517</v>
      </c>
      <c r="H56" s="80">
        <f>Table98[[#This Row],[BIDEN VOTES]]/C130</f>
        <v>0.17884041494955236</v>
      </c>
      <c r="I56" s="18">
        <v>0.31900000000000001</v>
      </c>
      <c r="J56" s="17">
        <v>5257</v>
      </c>
      <c r="K56" s="80">
        <f>Table98[[#This Row],[TRUMP VOTES]]/C130</f>
        <v>0.37352565013500072</v>
      </c>
      <c r="L56" s="18">
        <v>0.66700000000000004</v>
      </c>
      <c r="M56" s="80">
        <f>1-(Table98[[#This Row],[NbP]]+Table98[[#This Row],[NbP2]])</f>
        <v>0.4476339349154469</v>
      </c>
    </row>
    <row r="57" spans="1:13" ht="20">
      <c r="A57" s="78" t="s">
        <v>3120</v>
      </c>
      <c r="B57" s="78" t="s">
        <v>297</v>
      </c>
      <c r="C57" s="78">
        <v>26</v>
      </c>
      <c r="D57" s="78">
        <f>Table97[[#This Row],[2020]]/C131</f>
        <v>4.0528744232447934E-4</v>
      </c>
      <c r="F57" s="16" t="s">
        <v>3157</v>
      </c>
      <c r="G57" s="17">
        <v>18108</v>
      </c>
      <c r="H57" s="80">
        <f>Table98[[#This Row],[BIDEN VOTES]]/C131</f>
        <v>0.28226711560044893</v>
      </c>
      <c r="I57" s="18">
        <v>0.5</v>
      </c>
      <c r="J57" s="17">
        <v>17493</v>
      </c>
      <c r="K57" s="80">
        <f>Table98[[#This Row],[TRUMP VOTES]]/C131</f>
        <v>0.27268050879161992</v>
      </c>
      <c r="L57" s="18">
        <v>0.48299999999999998</v>
      </c>
      <c r="M57" s="80">
        <f>1-(Table98[[#This Row],[NbP]]+Table98[[#This Row],[NbP2]])</f>
        <v>0.44505237560793121</v>
      </c>
    </row>
    <row r="58" spans="1:13" ht="20">
      <c r="A58" s="78" t="s">
        <v>3121</v>
      </c>
      <c r="B58" s="78" t="s">
        <v>297</v>
      </c>
      <c r="C58" s="78">
        <v>5</v>
      </c>
      <c r="D58" s="78">
        <f>Table97[[#This Row],[2020]]/C132</f>
        <v>3.0345329853735513E-4</v>
      </c>
      <c r="F58" s="16" t="s">
        <v>3158</v>
      </c>
      <c r="G58" s="17">
        <v>4498</v>
      </c>
      <c r="H58" s="80">
        <f>Table98[[#This Row],[BIDEN VOTES]]/C132</f>
        <v>0.27298658736420467</v>
      </c>
      <c r="I58" s="18">
        <v>0.42899999999999999</v>
      </c>
      <c r="J58" s="17">
        <v>5909</v>
      </c>
      <c r="K58" s="80">
        <f>Table98[[#This Row],[TRUMP VOTES]]/C132</f>
        <v>0.35862110821144627</v>
      </c>
      <c r="L58" s="18">
        <v>0.56299999999999994</v>
      </c>
      <c r="M58" s="80">
        <f>1-(Table98[[#This Row],[NbP]]+Table98[[#This Row],[NbP2]])</f>
        <v>0.36839230442434912</v>
      </c>
    </row>
    <row r="59" spans="1:13" ht="20">
      <c r="A59" s="78" t="s">
        <v>3122</v>
      </c>
      <c r="B59" s="78" t="s">
        <v>297</v>
      </c>
      <c r="C59" s="78">
        <v>14</v>
      </c>
      <c r="D59" s="78">
        <f>Table97[[#This Row],[2020]]/C133</f>
        <v>3.4302795677847744E-4</v>
      </c>
      <c r="F59" s="16" t="s">
        <v>3159</v>
      </c>
      <c r="G59" s="17">
        <v>7131</v>
      </c>
      <c r="H59" s="80">
        <f>Table98[[#This Row],[BIDEN VOTES]]/C133</f>
        <v>0.17472373998480875</v>
      </c>
      <c r="I59" s="18">
        <v>0.315</v>
      </c>
      <c r="J59" s="17">
        <v>15173</v>
      </c>
      <c r="K59" s="80">
        <f>Table98[[#This Row],[TRUMP VOTES]]/C133</f>
        <v>0.37176879915713129</v>
      </c>
      <c r="L59" s="18">
        <v>0.67100000000000004</v>
      </c>
      <c r="M59" s="80">
        <f>1-(Table98[[#This Row],[NbP]]+Table98[[#This Row],[NbP2]])</f>
        <v>0.45350746085805993</v>
      </c>
    </row>
    <row r="60" spans="1:13" ht="20">
      <c r="A60" s="78" t="s">
        <v>3123</v>
      </c>
      <c r="B60" s="78" t="s">
        <v>297</v>
      </c>
      <c r="C60" s="78">
        <v>35</v>
      </c>
      <c r="D60" s="78">
        <f>Table97[[#This Row],[2020]]/C134</f>
        <v>3.0394608864804781E-4</v>
      </c>
      <c r="F60" s="16" t="s">
        <v>3160</v>
      </c>
      <c r="G60" s="17">
        <v>27101</v>
      </c>
      <c r="H60" s="80">
        <f>Table98[[#This Row],[BIDEN VOTES]]/C134</f>
        <v>0.23534979852716409</v>
      </c>
      <c r="I60" s="18">
        <v>0.41199999999999998</v>
      </c>
      <c r="J60" s="17">
        <v>37609</v>
      </c>
      <c r="K60" s="80">
        <f>Table98[[#This Row],[TRUMP VOTES]]/C134</f>
        <v>0.32660309851326941</v>
      </c>
      <c r="L60" s="18">
        <v>0.57099999999999995</v>
      </c>
      <c r="M60" s="80">
        <f>1-(Table98[[#This Row],[NbP]]+Table98[[#This Row],[NbP2]])</f>
        <v>0.4380471029595665</v>
      </c>
    </row>
    <row r="61" spans="1:13" ht="20">
      <c r="A61" s="78" t="s">
        <v>3124</v>
      </c>
      <c r="B61" s="78" t="s">
        <v>297</v>
      </c>
      <c r="C61" s="78">
        <v>49</v>
      </c>
      <c r="D61" s="78">
        <f>Table97[[#This Row],[2020]]/C135</f>
        <v>5.4625314931662614E-4</v>
      </c>
      <c r="F61" s="16" t="s">
        <v>3156</v>
      </c>
      <c r="G61" s="17">
        <v>23190</v>
      </c>
      <c r="H61" s="80">
        <f>Table98[[#This Row],[BIDEN VOTES]]/C135</f>
        <v>0.25852266393168494</v>
      </c>
      <c r="I61" s="18">
        <v>0.41</v>
      </c>
      <c r="J61" s="17">
        <v>32199</v>
      </c>
      <c r="K61" s="80">
        <f>Table98[[#This Row],[TRUMP VOTES]]/C135</f>
        <v>0.35895520724175606</v>
      </c>
      <c r="L61" s="18">
        <v>0.56899999999999995</v>
      </c>
      <c r="M61" s="80">
        <f>1-(Table98[[#This Row],[NbP]]+Table98[[#This Row],[NbP2]])</f>
        <v>0.382522128826559</v>
      </c>
    </row>
    <row r="62" spans="1:13" ht="20">
      <c r="A62" s="78" t="s">
        <v>755</v>
      </c>
      <c r="B62" s="78" t="s">
        <v>297</v>
      </c>
      <c r="C62" s="78">
        <v>15</v>
      </c>
      <c r="D62" s="78">
        <f>Table97[[#This Row],[2020]]/C136</f>
        <v>7.3818897637795275E-4</v>
      </c>
      <c r="F62" s="16" t="s">
        <v>526</v>
      </c>
      <c r="G62" s="17">
        <v>2693</v>
      </c>
      <c r="H62" s="80">
        <f>Table98[[#This Row],[BIDEN VOTES]]/C136</f>
        <v>0.13252952755905512</v>
      </c>
      <c r="I62" s="18">
        <v>0.252</v>
      </c>
      <c r="J62" s="17">
        <v>7657</v>
      </c>
      <c r="K62" s="80">
        <f>Table98[[#This Row],[TRUMP VOTES]]/C136</f>
        <v>0.37682086614173227</v>
      </c>
      <c r="L62" s="18">
        <v>0.71699999999999997</v>
      </c>
      <c r="M62" s="80">
        <f>1-(Table98[[#This Row],[NbP]]+Table98[[#This Row],[NbP2]])</f>
        <v>0.49064960629921262</v>
      </c>
    </row>
    <row r="63" spans="1:13" ht="20">
      <c r="A63" s="78" t="s">
        <v>3125</v>
      </c>
      <c r="B63" s="78" t="s">
        <v>297</v>
      </c>
      <c r="C63" s="78">
        <v>22</v>
      </c>
      <c r="D63" s="78">
        <f>Table97[[#This Row],[2020]]/C137</f>
        <v>7.4513124470787463E-4</v>
      </c>
      <c r="F63" s="16" t="s">
        <v>3161</v>
      </c>
      <c r="G63" s="17">
        <v>6285</v>
      </c>
      <c r="H63" s="80">
        <f>Table98[[#This Row],[BIDEN VOTES]]/C137</f>
        <v>0.21287044877222694</v>
      </c>
      <c r="I63" s="18">
        <v>0.40899999999999997</v>
      </c>
      <c r="J63" s="17">
        <v>8833</v>
      </c>
      <c r="K63" s="80">
        <f>Table98[[#This Row],[TRUMP VOTES]]/C137</f>
        <v>0.29917019475021167</v>
      </c>
      <c r="L63" s="18">
        <v>0.57499999999999996</v>
      </c>
      <c r="M63" s="80">
        <f>1-(Table98[[#This Row],[NbP]]+Table98[[#This Row],[NbP2]])</f>
        <v>0.48795935647756139</v>
      </c>
    </row>
    <row r="64" spans="1:13" ht="20">
      <c r="A64" s="78" t="s">
        <v>2127</v>
      </c>
      <c r="B64" s="78" t="s">
        <v>297</v>
      </c>
      <c r="C64" s="78">
        <v>6</v>
      </c>
      <c r="D64" s="78">
        <f>Table97[[#This Row],[2020]]/C138</f>
        <v>1.9506485906563932E-4</v>
      </c>
      <c r="F64" s="16" t="s">
        <v>2170</v>
      </c>
      <c r="G64" s="17">
        <v>7457</v>
      </c>
      <c r="H64" s="80">
        <f>Table98[[#This Row],[BIDEN VOTES]]/C138</f>
        <v>0.2424331090087454</v>
      </c>
      <c r="I64" s="18">
        <v>0.46899999999999997</v>
      </c>
      <c r="J64" s="17">
        <v>8218</v>
      </c>
      <c r="K64" s="80">
        <f>Table98[[#This Row],[TRUMP VOTES]]/C138</f>
        <v>0.26717383530023731</v>
      </c>
      <c r="L64" s="18">
        <v>0.51700000000000002</v>
      </c>
      <c r="M64" s="80">
        <f>1-(Table98[[#This Row],[NbP]]+Table98[[#This Row],[NbP2]])</f>
        <v>0.49039305569101732</v>
      </c>
    </row>
    <row r="65" spans="1:13" ht="20">
      <c r="A65" s="78" t="s">
        <v>3126</v>
      </c>
      <c r="B65" s="78" t="s">
        <v>297</v>
      </c>
      <c r="C65" s="78">
        <v>20</v>
      </c>
      <c r="D65" s="78">
        <f>Table97[[#This Row],[2020]]/C139</f>
        <v>9.1228390275053595E-4</v>
      </c>
      <c r="F65" s="16" t="s">
        <v>3162</v>
      </c>
      <c r="G65" s="17">
        <v>5903</v>
      </c>
      <c r="H65" s="80">
        <f>Table98[[#This Row],[BIDEN VOTES]]/C139</f>
        <v>0.26926059389682067</v>
      </c>
      <c r="I65" s="18">
        <v>0.38500000000000001</v>
      </c>
      <c r="J65" s="17">
        <v>9261</v>
      </c>
      <c r="K65" s="80">
        <f>Table98[[#This Row],[TRUMP VOTES]]/C139</f>
        <v>0.42243306116863566</v>
      </c>
      <c r="L65" s="18">
        <v>0.60399999999999998</v>
      </c>
      <c r="M65" s="80">
        <f>1-(Table98[[#This Row],[NbP]]+Table98[[#This Row],[NbP2]])</f>
        <v>0.30830634493454367</v>
      </c>
    </row>
    <row r="66" spans="1:13" ht="20">
      <c r="A66" s="78" t="s">
        <v>3127</v>
      </c>
      <c r="B66" s="78" t="s">
        <v>297</v>
      </c>
      <c r="C66" s="78">
        <v>68</v>
      </c>
      <c r="D66" s="78">
        <f>Table97[[#This Row],[2020]]/C140</f>
        <v>6.5769747850393163E-4</v>
      </c>
      <c r="F66" s="16" t="s">
        <v>3163</v>
      </c>
      <c r="G66" s="17">
        <v>22789</v>
      </c>
      <c r="H66" s="80">
        <f>Table98[[#This Row],[BIDEN VOTES]]/C140</f>
        <v>0.22041570349450146</v>
      </c>
      <c r="I66" s="18">
        <v>0.39700000000000002</v>
      </c>
      <c r="J66" s="17">
        <v>33851</v>
      </c>
      <c r="K66" s="80">
        <f>Table98[[#This Row],[TRUMP VOTES]]/C140</f>
        <v>0.32740760801230279</v>
      </c>
      <c r="L66" s="18">
        <v>0.58899999999999997</v>
      </c>
      <c r="M66" s="80">
        <f>1-(Table98[[#This Row],[NbP]]+Table98[[#This Row],[NbP2]])</f>
        <v>0.4521766884931957</v>
      </c>
    </row>
    <row r="67" spans="1:13" ht="20">
      <c r="A67" s="78" t="s">
        <v>3128</v>
      </c>
      <c r="B67" s="78" t="s">
        <v>297</v>
      </c>
      <c r="C67" s="78">
        <v>9</v>
      </c>
      <c r="D67" s="78">
        <f>Table97[[#This Row],[2020]]/C141</f>
        <v>5.7230064860740171E-4</v>
      </c>
      <c r="F67" s="16" t="s">
        <v>3164</v>
      </c>
      <c r="G67" s="17">
        <v>3867</v>
      </c>
      <c r="H67" s="80">
        <f>Table98[[#This Row],[BIDEN VOTES]]/C141</f>
        <v>0.24589851201831361</v>
      </c>
      <c r="I67" s="18">
        <v>0.373</v>
      </c>
      <c r="J67" s="17">
        <v>6334</v>
      </c>
      <c r="K67" s="80">
        <f>Table98[[#This Row],[TRUMP VOTES]]/C141</f>
        <v>0.40277247869769806</v>
      </c>
      <c r="L67" s="18">
        <v>0.61199999999999999</v>
      </c>
      <c r="M67" s="80">
        <f>1-(Table98[[#This Row],[NbP]]+Table98[[#This Row],[NbP2]])</f>
        <v>0.35132900928398836</v>
      </c>
    </row>
    <row r="68" spans="1:13" ht="20">
      <c r="A68" s="78" t="s">
        <v>38</v>
      </c>
      <c r="B68" s="78" t="s">
        <v>297</v>
      </c>
      <c r="C68" s="78">
        <v>43</v>
      </c>
      <c r="D68" s="78">
        <f>Table97[[#This Row],[2020]]/C142</f>
        <v>3.1727526949951672E-4</v>
      </c>
      <c r="F68" s="16" t="s">
        <v>258</v>
      </c>
      <c r="G68" s="17">
        <v>26650</v>
      </c>
      <c r="H68" s="80">
        <f>Table98[[#This Row],[BIDEN VOTES]]/C142</f>
        <v>0.19663688214330513</v>
      </c>
      <c r="I68" s="18">
        <v>0.30299999999999999</v>
      </c>
      <c r="J68" s="17">
        <v>60237</v>
      </c>
      <c r="K68" s="80">
        <f>Table98[[#This Row],[TRUMP VOTES]]/C142</f>
        <v>0.44445838160098577</v>
      </c>
      <c r="L68" s="18">
        <v>0.68400000000000005</v>
      </c>
      <c r="M68" s="80">
        <f>1-(Table98[[#This Row],[NbP]]+Table98[[#This Row],[NbP2]])</f>
        <v>0.35890473625570907</v>
      </c>
    </row>
    <row r="69" spans="1:13" ht="20">
      <c r="A69" s="78" t="s">
        <v>3129</v>
      </c>
      <c r="B69" s="78" t="s">
        <v>297</v>
      </c>
      <c r="C69" s="78">
        <v>114</v>
      </c>
      <c r="D69" s="78">
        <f>Table97[[#This Row],[2020]]/C143</f>
        <v>2.8313344277848285E-4</v>
      </c>
      <c r="F69" s="16" t="s">
        <v>3165</v>
      </c>
      <c r="G69" s="17">
        <v>103906</v>
      </c>
      <c r="H69" s="80">
        <f>Table98[[#This Row],[BIDEN VOTES]]/C143</f>
        <v>0.25806371495913194</v>
      </c>
      <c r="I69" s="18">
        <v>0.38900000000000001</v>
      </c>
      <c r="J69" s="17">
        <v>159649</v>
      </c>
      <c r="K69" s="80">
        <f>Table98[[#This Row],[TRUMP VOTES]]/C143</f>
        <v>0.39650851759773692</v>
      </c>
      <c r="L69" s="18">
        <v>0.59699999999999998</v>
      </c>
      <c r="M69" s="80">
        <f>1-(Table98[[#This Row],[NbP]]+Table98[[#This Row],[NbP2]])</f>
        <v>0.3454277674431312</v>
      </c>
    </row>
    <row r="70" spans="1:13" ht="20">
      <c r="A70" s="78" t="s">
        <v>3130</v>
      </c>
      <c r="B70" s="78" t="s">
        <v>297</v>
      </c>
      <c r="C70" s="78">
        <v>43</v>
      </c>
      <c r="D70" s="78">
        <f>Table97[[#This Row],[2020]]/C144</f>
        <v>8.4318685412867426E-4</v>
      </c>
      <c r="F70" s="16" t="s">
        <v>3166</v>
      </c>
      <c r="G70" s="17">
        <v>9703</v>
      </c>
      <c r="H70" s="80">
        <f>Table98[[#This Row],[BIDEN VOTES]]/C144</f>
        <v>0.19026609408396572</v>
      </c>
      <c r="I70" s="18">
        <v>0.33400000000000002</v>
      </c>
      <c r="J70" s="17">
        <v>18952</v>
      </c>
      <c r="K70" s="80">
        <f>Table98[[#This Row],[TRUMP VOTES]]/C144</f>
        <v>0.37162970370806125</v>
      </c>
      <c r="L70" s="18">
        <v>0.65200000000000002</v>
      </c>
      <c r="M70" s="80">
        <f>1-(Table98[[#This Row],[NbP]]+Table98[[#This Row],[NbP2]])</f>
        <v>0.43810420220797308</v>
      </c>
    </row>
    <row r="71" spans="1:13" ht="20">
      <c r="A71" s="78" t="s">
        <v>3131</v>
      </c>
      <c r="B71" s="78" t="s">
        <v>297</v>
      </c>
      <c r="C71" s="78">
        <v>20</v>
      </c>
      <c r="D71" s="78">
        <f>Table97[[#This Row],[2020]]/C145</f>
        <v>8.2453825857519791E-4</v>
      </c>
      <c r="F71" s="16" t="s">
        <v>3167</v>
      </c>
      <c r="G71" s="17">
        <v>4388</v>
      </c>
      <c r="H71" s="80">
        <f>Table98[[#This Row],[BIDEN VOTES]]/C145</f>
        <v>0.18090369393139841</v>
      </c>
      <c r="I71" s="18">
        <v>0.32300000000000001</v>
      </c>
      <c r="J71" s="17">
        <v>9016</v>
      </c>
      <c r="K71" s="80">
        <f>Table98[[#This Row],[TRUMP VOTES]]/C145</f>
        <v>0.37170184696569919</v>
      </c>
      <c r="L71" s="18">
        <v>0.66500000000000004</v>
      </c>
      <c r="M71" s="80">
        <f>1-(Table98[[#This Row],[NbP]]+Table98[[#This Row],[NbP2]])</f>
        <v>0.44739445910290243</v>
      </c>
    </row>
    <row r="72" spans="1:13" ht="20">
      <c r="A72" s="78" t="s">
        <v>1401</v>
      </c>
      <c r="B72" s="78" t="s">
        <v>297</v>
      </c>
      <c r="C72" s="78">
        <v>74</v>
      </c>
      <c r="D72" s="78">
        <f>Table97[[#This Row],[2020]]/C146</f>
        <v>4.3294095621445791E-4</v>
      </c>
      <c r="F72" s="16" t="s">
        <v>1413</v>
      </c>
      <c r="G72" s="17">
        <v>44060</v>
      </c>
      <c r="H72" s="80">
        <f>Table98[[#This Row],[BIDEN VOTES]]/C146</f>
        <v>0.25777538555147317</v>
      </c>
      <c r="I72" s="18">
        <v>0.47</v>
      </c>
      <c r="J72" s="17">
        <v>47796</v>
      </c>
      <c r="K72" s="80">
        <f>Table98[[#This Row],[TRUMP VOTES]]/C146</f>
        <v>0.27963305328684096</v>
      </c>
      <c r="L72" s="18">
        <v>0.51</v>
      </c>
      <c r="M72" s="80">
        <f>1-(Table98[[#This Row],[NbP]]+Table98[[#This Row],[NbP2]])</f>
        <v>0.46259156116168587</v>
      </c>
    </row>
    <row r="73" spans="1:13" ht="20">
      <c r="A73" s="78" t="s">
        <v>780</v>
      </c>
      <c r="B73" s="78" t="s">
        <v>297</v>
      </c>
      <c r="C73" s="78">
        <v>163</v>
      </c>
      <c r="D73" s="78">
        <f>Table97[[#This Row],[2020]]/C147</f>
        <v>2.2361850408824015E-3</v>
      </c>
      <c r="F73" s="16" t="s">
        <v>551</v>
      </c>
      <c r="G73" s="17">
        <v>16365</v>
      </c>
      <c r="H73" s="80">
        <f>Table98[[#This Row],[BIDEN VOTES]]/C147</f>
        <v>0.22451023431926687</v>
      </c>
      <c r="I73" s="18">
        <v>0.39700000000000002</v>
      </c>
      <c r="J73" s="17">
        <v>24308</v>
      </c>
      <c r="K73" s="80">
        <f>Table98[[#This Row],[TRUMP VOTES]]/C147</f>
        <v>0.33347966855073258</v>
      </c>
      <c r="L73" s="18">
        <v>0.59</v>
      </c>
      <c r="M73" s="80">
        <f>1-(Table98[[#This Row],[NbP]]+Table98[[#This Row],[NbP2]])</f>
        <v>0.4420100971300005</v>
      </c>
    </row>
    <row r="75" spans="1:13" ht="21">
      <c r="A75" s="77" t="s">
        <v>1670</v>
      </c>
      <c r="B75" s="77" t="s">
        <v>69</v>
      </c>
      <c r="C75" s="77" t="s">
        <v>54</v>
      </c>
    </row>
    <row r="76" spans="1:13" ht="21">
      <c r="A76" s="52">
        <v>53</v>
      </c>
      <c r="B76" s="53" t="s">
        <v>1144</v>
      </c>
      <c r="C76" s="54">
        <v>20208</v>
      </c>
    </row>
    <row r="77" spans="1:13" ht="21">
      <c r="A77" s="52">
        <v>61</v>
      </c>
      <c r="B77" s="53" t="s">
        <v>2617</v>
      </c>
      <c r="C77" s="54">
        <v>15524</v>
      </c>
    </row>
    <row r="78" spans="1:13" ht="21">
      <c r="A78" s="52">
        <v>31</v>
      </c>
      <c r="B78" s="53" t="s">
        <v>3132</v>
      </c>
      <c r="C78" s="54">
        <v>45182</v>
      </c>
    </row>
    <row r="79" spans="1:13" ht="21">
      <c r="A79" s="52">
        <v>64</v>
      </c>
      <c r="B79" s="53" t="s">
        <v>3133</v>
      </c>
      <c r="C79" s="54">
        <v>15088</v>
      </c>
    </row>
    <row r="80" spans="1:13" ht="21">
      <c r="A80" s="52">
        <v>4</v>
      </c>
      <c r="B80" s="53" t="s">
        <v>354</v>
      </c>
      <c r="C80" s="54">
        <v>262559</v>
      </c>
    </row>
    <row r="81" spans="1:3" ht="21">
      <c r="A81" s="52">
        <v>67</v>
      </c>
      <c r="B81" s="53" t="s">
        <v>2229</v>
      </c>
      <c r="C81" s="54">
        <v>13087</v>
      </c>
    </row>
    <row r="82" spans="1:3" ht="21">
      <c r="A82" s="52">
        <v>63</v>
      </c>
      <c r="B82" s="53" t="s">
        <v>3134</v>
      </c>
      <c r="C82" s="54">
        <v>15363</v>
      </c>
    </row>
    <row r="83" spans="1:3" ht="21">
      <c r="A83" s="52">
        <v>29</v>
      </c>
      <c r="B83" s="53" t="s">
        <v>3135</v>
      </c>
      <c r="C83" s="54">
        <v>50005</v>
      </c>
    </row>
    <row r="84" spans="1:3" ht="21">
      <c r="A84" s="52">
        <v>24</v>
      </c>
      <c r="B84" s="53" t="s">
        <v>1827</v>
      </c>
      <c r="C84" s="54">
        <v>64175</v>
      </c>
    </row>
    <row r="85" spans="1:3" ht="21">
      <c r="A85" s="52">
        <v>41</v>
      </c>
      <c r="B85" s="53" t="s">
        <v>1404</v>
      </c>
      <c r="C85" s="54">
        <v>34668</v>
      </c>
    </row>
    <row r="86" spans="1:3" ht="21">
      <c r="A86" s="52">
        <v>26</v>
      </c>
      <c r="B86" s="53" t="s">
        <v>271</v>
      </c>
      <c r="C86" s="54">
        <v>57331</v>
      </c>
    </row>
    <row r="87" spans="1:3" ht="21">
      <c r="A87" s="52">
        <v>59</v>
      </c>
      <c r="B87" s="53" t="s">
        <v>1331</v>
      </c>
      <c r="C87" s="54">
        <v>16155</v>
      </c>
    </row>
    <row r="88" spans="1:3" ht="21">
      <c r="A88" s="52">
        <v>2</v>
      </c>
      <c r="B88" s="53" t="s">
        <v>3136</v>
      </c>
      <c r="C88" s="54">
        <v>542459</v>
      </c>
    </row>
    <row r="89" spans="1:3" ht="21">
      <c r="A89" s="52">
        <v>19</v>
      </c>
      <c r="B89" s="53" t="s">
        <v>1334</v>
      </c>
      <c r="C89" s="54">
        <v>87569</v>
      </c>
    </row>
    <row r="90" spans="1:3" ht="21">
      <c r="A90" s="52">
        <v>45</v>
      </c>
      <c r="B90" s="53" t="s">
        <v>3137</v>
      </c>
      <c r="C90" s="54">
        <v>27621</v>
      </c>
    </row>
    <row r="91" spans="1:3" ht="21">
      <c r="A91" s="52">
        <v>34</v>
      </c>
      <c r="B91" s="53" t="s">
        <v>276</v>
      </c>
      <c r="C91" s="54">
        <v>43497</v>
      </c>
    </row>
    <row r="92" spans="1:3" ht="21">
      <c r="A92" s="52">
        <v>32</v>
      </c>
      <c r="B92" s="53" t="s">
        <v>2557</v>
      </c>
      <c r="C92" s="54">
        <v>45029</v>
      </c>
    </row>
    <row r="93" spans="1:3" ht="21">
      <c r="A93" s="52">
        <v>14</v>
      </c>
      <c r="B93" s="53" t="s">
        <v>3138</v>
      </c>
      <c r="C93" s="54">
        <v>104132</v>
      </c>
    </row>
    <row r="94" spans="1:3" ht="21">
      <c r="A94" s="52">
        <v>72</v>
      </c>
      <c r="B94" s="53" t="s">
        <v>2834</v>
      </c>
      <c r="C94" s="54">
        <v>4312</v>
      </c>
    </row>
    <row r="95" spans="1:3" ht="21">
      <c r="A95" s="52">
        <v>16</v>
      </c>
      <c r="B95" s="53" t="s">
        <v>3139</v>
      </c>
      <c r="C95" s="54">
        <v>102654</v>
      </c>
    </row>
    <row r="96" spans="1:3" ht="21">
      <c r="A96" s="52">
        <v>68</v>
      </c>
      <c r="B96" s="53" t="s">
        <v>2775</v>
      </c>
      <c r="C96" s="54">
        <v>9003</v>
      </c>
    </row>
    <row r="97" spans="1:3" ht="21">
      <c r="A97" s="52">
        <v>27</v>
      </c>
      <c r="B97" s="53" t="s">
        <v>278</v>
      </c>
      <c r="C97" s="54">
        <v>51570</v>
      </c>
    </row>
    <row r="98" spans="1:3" ht="21">
      <c r="A98" s="52">
        <v>39</v>
      </c>
      <c r="B98" s="53" t="s">
        <v>1643</v>
      </c>
      <c r="C98" s="54">
        <v>36790</v>
      </c>
    </row>
    <row r="99" spans="1:3" ht="21">
      <c r="A99" s="52">
        <v>55</v>
      </c>
      <c r="B99" s="53" t="s">
        <v>3140</v>
      </c>
      <c r="C99" s="54">
        <v>18807</v>
      </c>
    </row>
    <row r="100" spans="1:3" ht="21">
      <c r="A100" s="52">
        <v>48</v>
      </c>
      <c r="B100" s="53" t="s">
        <v>1549</v>
      </c>
      <c r="C100" s="54">
        <v>23632</v>
      </c>
    </row>
    <row r="101" spans="1:3" ht="21">
      <c r="A101" s="52">
        <v>70</v>
      </c>
      <c r="B101" s="53" t="s">
        <v>1841</v>
      </c>
      <c r="C101" s="54">
        <v>5679</v>
      </c>
    </row>
    <row r="102" spans="1:3" ht="21">
      <c r="A102" s="52">
        <v>50</v>
      </c>
      <c r="B102" s="53" t="s">
        <v>213</v>
      </c>
      <c r="C102" s="54">
        <v>20556</v>
      </c>
    </row>
    <row r="103" spans="1:3" ht="21">
      <c r="A103" s="52">
        <v>20</v>
      </c>
      <c r="B103" s="53" t="s">
        <v>214</v>
      </c>
      <c r="C103" s="54">
        <v>84837</v>
      </c>
    </row>
    <row r="104" spans="1:3" ht="21">
      <c r="A104" s="52">
        <v>46</v>
      </c>
      <c r="B104" s="53" t="s">
        <v>3141</v>
      </c>
      <c r="C104" s="54">
        <v>26603</v>
      </c>
    </row>
    <row r="105" spans="1:3" ht="21">
      <c r="A105" s="52">
        <v>8</v>
      </c>
      <c r="B105" s="53" t="s">
        <v>3142</v>
      </c>
      <c r="C105" s="54">
        <v>168998</v>
      </c>
    </row>
    <row r="106" spans="1:3" ht="21">
      <c r="A106" s="52">
        <v>51</v>
      </c>
      <c r="B106" s="53" t="s">
        <v>3143</v>
      </c>
      <c r="C106" s="54">
        <v>20398</v>
      </c>
    </row>
    <row r="107" spans="1:3" ht="21">
      <c r="A107" s="52">
        <v>12</v>
      </c>
      <c r="B107" s="53" t="s">
        <v>3144</v>
      </c>
      <c r="C107" s="54">
        <v>118168</v>
      </c>
    </row>
    <row r="108" spans="1:3" ht="21">
      <c r="A108" s="52">
        <v>57</v>
      </c>
      <c r="B108" s="53" t="s">
        <v>2063</v>
      </c>
      <c r="C108" s="54">
        <v>16682</v>
      </c>
    </row>
    <row r="109" spans="1:3" ht="21">
      <c r="A109" s="52">
        <v>54</v>
      </c>
      <c r="B109" s="53" t="s">
        <v>3145</v>
      </c>
      <c r="C109" s="54">
        <v>19167</v>
      </c>
    </row>
    <row r="110" spans="1:3" ht="21">
      <c r="A110" s="52">
        <v>44</v>
      </c>
      <c r="B110" s="53" t="s">
        <v>221</v>
      </c>
      <c r="C110" s="54">
        <v>27687</v>
      </c>
    </row>
    <row r="111" spans="1:3" ht="21">
      <c r="A111" s="52">
        <v>21</v>
      </c>
      <c r="B111" s="53" t="s">
        <v>3146</v>
      </c>
      <c r="C111" s="54">
        <v>78977</v>
      </c>
    </row>
    <row r="112" spans="1:3" ht="21">
      <c r="A112" s="52">
        <v>11</v>
      </c>
      <c r="B112" s="53" t="s">
        <v>3147</v>
      </c>
      <c r="C112" s="54">
        <v>135485</v>
      </c>
    </row>
    <row r="113" spans="1:3" ht="21">
      <c r="A113" s="52">
        <v>37</v>
      </c>
      <c r="B113" s="53" t="s">
        <v>3148</v>
      </c>
      <c r="C113" s="54">
        <v>40312</v>
      </c>
    </row>
    <row r="114" spans="1:3" ht="21">
      <c r="A114" s="52">
        <v>62</v>
      </c>
      <c r="B114" s="53" t="s">
        <v>1853</v>
      </c>
      <c r="C114" s="54">
        <v>15380</v>
      </c>
    </row>
    <row r="115" spans="1:3" ht="21">
      <c r="A115" s="52">
        <v>71</v>
      </c>
      <c r="B115" s="53" t="s">
        <v>1855</v>
      </c>
      <c r="C115" s="54">
        <v>4566</v>
      </c>
    </row>
    <row r="116" spans="1:3" ht="21">
      <c r="A116" s="52">
        <v>1</v>
      </c>
      <c r="B116" s="53" t="s">
        <v>3149</v>
      </c>
      <c r="C116" s="54">
        <v>949180</v>
      </c>
    </row>
    <row r="117" spans="1:3" ht="21">
      <c r="A117" s="52">
        <v>30</v>
      </c>
      <c r="B117" s="53" t="s">
        <v>231</v>
      </c>
      <c r="C117" s="54">
        <v>46155</v>
      </c>
    </row>
    <row r="118" spans="1:3" ht="21">
      <c r="A118" s="52">
        <v>38</v>
      </c>
      <c r="B118" s="53" t="s">
        <v>3150</v>
      </c>
      <c r="C118" s="54">
        <v>37870</v>
      </c>
    </row>
    <row r="119" spans="1:3" ht="21">
      <c r="A119" s="52">
        <v>40</v>
      </c>
      <c r="B119" s="53" t="s">
        <v>2369</v>
      </c>
      <c r="C119" s="54">
        <v>35480</v>
      </c>
    </row>
    <row r="120" spans="1:3" ht="21">
      <c r="A120" s="52">
        <v>6</v>
      </c>
      <c r="B120" s="53" t="s">
        <v>3151</v>
      </c>
      <c r="C120" s="54">
        <v>186829</v>
      </c>
    </row>
    <row r="121" spans="1:3" ht="21">
      <c r="A121" s="52">
        <v>18</v>
      </c>
      <c r="B121" s="53" t="s">
        <v>3152</v>
      </c>
      <c r="C121" s="54">
        <v>89179</v>
      </c>
    </row>
    <row r="122" spans="1:3" ht="21">
      <c r="A122" s="52">
        <v>69</v>
      </c>
      <c r="B122" s="53" t="s">
        <v>3153</v>
      </c>
      <c r="C122" s="54">
        <v>7261</v>
      </c>
    </row>
    <row r="123" spans="1:3" ht="21">
      <c r="A123" s="52">
        <v>35</v>
      </c>
      <c r="B123" s="53" t="s">
        <v>1369</v>
      </c>
      <c r="C123" s="54">
        <v>42336</v>
      </c>
    </row>
    <row r="124" spans="1:3" ht="21">
      <c r="A124" s="52">
        <v>33</v>
      </c>
      <c r="B124" s="53" t="s">
        <v>239</v>
      </c>
      <c r="C124" s="54">
        <v>43549</v>
      </c>
    </row>
    <row r="125" spans="1:3" ht="21">
      <c r="A125" s="52">
        <v>23</v>
      </c>
      <c r="B125" s="53" t="s">
        <v>2639</v>
      </c>
      <c r="C125" s="54">
        <v>70822</v>
      </c>
    </row>
    <row r="126" spans="1:3" ht="21">
      <c r="A126" s="52">
        <v>66</v>
      </c>
      <c r="B126" s="53" t="s">
        <v>3154</v>
      </c>
      <c r="C126" s="54">
        <v>13351</v>
      </c>
    </row>
    <row r="127" spans="1:3" ht="21">
      <c r="A127" s="52">
        <v>5</v>
      </c>
      <c r="B127" s="53" t="s">
        <v>3155</v>
      </c>
      <c r="C127" s="54">
        <v>195859</v>
      </c>
    </row>
    <row r="128" spans="1:3" ht="21">
      <c r="A128" s="52">
        <v>56</v>
      </c>
      <c r="B128" s="53" t="s">
        <v>2573</v>
      </c>
      <c r="C128" s="54">
        <v>17408</v>
      </c>
    </row>
    <row r="129" spans="1:3" ht="21">
      <c r="A129" s="52">
        <v>9</v>
      </c>
      <c r="B129" s="53" t="s">
        <v>1990</v>
      </c>
      <c r="C129" s="54">
        <v>162532</v>
      </c>
    </row>
    <row r="130" spans="1:3" ht="21">
      <c r="A130" s="52">
        <v>65</v>
      </c>
      <c r="B130" s="53" t="s">
        <v>509</v>
      </c>
      <c r="C130" s="54">
        <v>14074</v>
      </c>
    </row>
    <row r="131" spans="1:3" ht="21">
      <c r="A131" s="52">
        <v>25</v>
      </c>
      <c r="B131" s="53" t="s">
        <v>3157</v>
      </c>
      <c r="C131" s="54">
        <v>64152</v>
      </c>
    </row>
    <row r="132" spans="1:3" ht="21">
      <c r="A132" s="52">
        <v>58</v>
      </c>
      <c r="B132" s="53" t="s">
        <v>3158</v>
      </c>
      <c r="C132" s="54">
        <v>16477</v>
      </c>
    </row>
    <row r="133" spans="1:3" ht="21">
      <c r="A133" s="52">
        <v>36</v>
      </c>
      <c r="B133" s="53" t="s">
        <v>3159</v>
      </c>
      <c r="C133" s="54">
        <v>40813</v>
      </c>
    </row>
    <row r="134" spans="1:3" ht="21">
      <c r="A134" s="52">
        <v>13</v>
      </c>
      <c r="B134" s="53" t="s">
        <v>3160</v>
      </c>
      <c r="C134" s="54">
        <v>115152</v>
      </c>
    </row>
    <row r="135" spans="1:3" ht="21">
      <c r="A135" s="52">
        <v>17</v>
      </c>
      <c r="B135" s="53" t="s">
        <v>3156</v>
      </c>
      <c r="C135" s="54">
        <v>89702</v>
      </c>
    </row>
    <row r="136" spans="1:3" ht="21">
      <c r="A136" s="52">
        <v>52</v>
      </c>
      <c r="B136" s="53" t="s">
        <v>526</v>
      </c>
      <c r="C136" s="54">
        <v>20320</v>
      </c>
    </row>
    <row r="137" spans="1:3" ht="21">
      <c r="A137" s="52">
        <v>43</v>
      </c>
      <c r="B137" s="53" t="s">
        <v>3161</v>
      </c>
      <c r="C137" s="54">
        <v>29525</v>
      </c>
    </row>
    <row r="138" spans="1:3" ht="21">
      <c r="A138" s="52">
        <v>42</v>
      </c>
      <c r="B138" s="53" t="s">
        <v>2170</v>
      </c>
      <c r="C138" s="54">
        <v>30759</v>
      </c>
    </row>
    <row r="139" spans="1:3" ht="21">
      <c r="A139" s="52">
        <v>49</v>
      </c>
      <c r="B139" s="53" t="s">
        <v>3162</v>
      </c>
      <c r="C139" s="54">
        <v>21923</v>
      </c>
    </row>
    <row r="140" spans="1:3" ht="21">
      <c r="A140" s="52">
        <v>15</v>
      </c>
      <c r="B140" s="53" t="s">
        <v>3163</v>
      </c>
      <c r="C140" s="54">
        <v>103391</v>
      </c>
    </row>
    <row r="141" spans="1:3" ht="21">
      <c r="A141" s="52">
        <v>60</v>
      </c>
      <c r="B141" s="53" t="s">
        <v>3164</v>
      </c>
      <c r="C141" s="54">
        <v>15726</v>
      </c>
    </row>
    <row r="142" spans="1:3" ht="21">
      <c r="A142" s="52">
        <v>10</v>
      </c>
      <c r="B142" s="53" t="s">
        <v>258</v>
      </c>
      <c r="C142" s="54">
        <v>135529</v>
      </c>
    </row>
    <row r="143" spans="1:3" ht="21">
      <c r="A143" s="52">
        <v>3</v>
      </c>
      <c r="B143" s="53" t="s">
        <v>3165</v>
      </c>
      <c r="C143" s="54">
        <v>402637</v>
      </c>
    </row>
    <row r="144" spans="1:3" ht="21">
      <c r="A144" s="52">
        <v>28</v>
      </c>
      <c r="B144" s="53" t="s">
        <v>3166</v>
      </c>
      <c r="C144" s="54">
        <v>50997</v>
      </c>
    </row>
    <row r="145" spans="1:3" ht="21">
      <c r="A145" s="52">
        <v>47</v>
      </c>
      <c r="B145" s="53" t="s">
        <v>3167</v>
      </c>
      <c r="C145" s="54">
        <v>24256</v>
      </c>
    </row>
    <row r="146" spans="1:3" ht="21">
      <c r="A146" s="52">
        <v>7</v>
      </c>
      <c r="B146" s="53" t="s">
        <v>1413</v>
      </c>
      <c r="C146" s="54">
        <v>170924</v>
      </c>
    </row>
    <row r="147" spans="1:3" ht="21">
      <c r="A147" s="52">
        <v>22</v>
      </c>
      <c r="B147" s="53" t="s">
        <v>551</v>
      </c>
      <c r="C147" s="54">
        <v>72892</v>
      </c>
    </row>
  </sheetData>
  <hyperlinks>
    <hyperlink ref="B116" r:id="rId1" display="https://www.wisconsin-demographics.com/milwaukee-county-demographics" xr:uid="{214AB67B-675E-AA45-AC9A-1A7A562ABB5F}"/>
    <hyperlink ref="B88" r:id="rId2" display="https://www.wisconsin-demographics.com/dane-county-demographics" xr:uid="{EC84456D-B308-A54C-8EE7-EFAF1CEEEF72}"/>
    <hyperlink ref="B143" r:id="rId3" display="https://www.wisconsin-demographics.com/waukesha-county-demographics" xr:uid="{3214B729-CB47-C745-80A9-1FBF91B089BF}"/>
    <hyperlink ref="B80" r:id="rId4" display="https://www.wisconsin-demographics.com/brown-county-demographics" xr:uid="{49D581CC-5155-FB4B-B3F9-BEF683A13CAD}"/>
    <hyperlink ref="B127" r:id="rId5" display="https://www.wisconsin-demographics.com/racine-county-demographics" xr:uid="{7F2A2F96-F227-E74F-B9BF-5C06B53D10B0}"/>
    <hyperlink ref="B120" r:id="rId6" display="https://www.wisconsin-demographics.com/outagamie-county-demographics" xr:uid="{20AD2394-49E6-B049-90AC-45EFF0842AF0}"/>
    <hyperlink ref="B146" r:id="rId7" display="https://www.wisconsin-demographics.com/winnebago-county-demographics" xr:uid="{44847319-F290-8F43-BEAD-8A9F99493ADA}"/>
    <hyperlink ref="B105" r:id="rId8" display="https://www.wisconsin-demographics.com/kenosha-county-demographics" xr:uid="{999770A8-BD17-5E42-A72C-AF9E8C9C7753}"/>
    <hyperlink ref="B129" r:id="rId9" display="https://www.wisconsin-demographics.com/rock-county-demographics" xr:uid="{702538DF-6068-FC47-A126-025AF72E4E37}"/>
    <hyperlink ref="B142" r:id="rId10" display="https://www.wisconsin-demographics.com/washington-county-demographics" xr:uid="{D38A2FBF-5336-9548-8C0F-3CA242204440}"/>
    <hyperlink ref="B112" r:id="rId11" display="https://www.wisconsin-demographics.com/marathon-county-demographics" xr:uid="{0A0BF56C-BEE1-034B-BF16-042F95F14A04}"/>
    <hyperlink ref="B107" r:id="rId12" display="https://www.wisconsin-demographics.com/la-crosse-county-demographics" xr:uid="{6658AA23-3896-5743-AE85-7895F2F8D363}"/>
    <hyperlink ref="B134" r:id="rId13" display="https://www.wisconsin-demographics.com/sheboygan-county-demographics" xr:uid="{A7794DFB-2C55-7549-9C1A-9AFE9C467352}"/>
    <hyperlink ref="B93" r:id="rId14" display="https://www.wisconsin-demographics.com/eau-claire-county-demographics" xr:uid="{972C6DDD-0B07-5E4A-AB62-53886F3538CE}"/>
    <hyperlink ref="B140" r:id="rId15" display="https://www.wisconsin-demographics.com/walworth-county-demographics" xr:uid="{A8DE5767-E98D-D14E-9AC6-4DE82B9C34E9}"/>
    <hyperlink ref="B95" r:id="rId16" display="https://www.wisconsin-demographics.com/fond-du-lac-county-demographics" xr:uid="{5C50F0C4-31B6-A747-AD93-AABE8AEBF32C}"/>
    <hyperlink ref="B135" r:id="rId17" display="https://www.wisconsin-demographics.com/st-croix-county-demographics" xr:uid="{D14776B2-0D2C-6443-9711-88A4A4F503A2}"/>
    <hyperlink ref="B121" r:id="rId18" display="https://www.wisconsin-demographics.com/ozaukee-county-demographics" xr:uid="{3AB4CEAC-F49A-4E47-948D-C985F62F6928}"/>
    <hyperlink ref="B89" r:id="rId19" display="https://www.wisconsin-demographics.com/dodge-county-demographics" xr:uid="{7CEAF470-7F7F-C84B-8A0E-F10D4D90A56F}"/>
    <hyperlink ref="B103" r:id="rId20" display="https://www.wisconsin-demographics.com/jefferson-county-demographics" xr:uid="{CA0F1BB0-4377-7549-99F6-823A94DBC098}"/>
    <hyperlink ref="B111" r:id="rId21" display="https://www.wisconsin-demographics.com/manitowoc-county-demographics" xr:uid="{EA3C8CA3-38E0-CE4F-A4A4-A84F65659E0E}"/>
    <hyperlink ref="B147" r:id="rId22" display="https://www.wisconsin-demographics.com/wood-county-demographics" xr:uid="{F748CF34-49DC-3E48-BBE0-8EFAFEB70FA4}"/>
    <hyperlink ref="B125" r:id="rId23" display="https://www.wisconsin-demographics.com/portage-county-demographics" xr:uid="{30CAF825-6BB3-464B-8A97-4BFC537C5861}"/>
    <hyperlink ref="B84" r:id="rId24" display="https://www.wisconsin-demographics.com/chippewa-county-demographics" xr:uid="{6C8DE13A-81BB-5843-BA4D-A0BF5E8EEB8F}"/>
    <hyperlink ref="B131" r:id="rId25" display="https://www.wisconsin-demographics.com/sauk-county-demographics" xr:uid="{4B7C96E7-E982-EF40-8EC7-FA88965A43A5}"/>
    <hyperlink ref="B86" r:id="rId26" display="https://www.wisconsin-demographics.com/columbia-county-demographics" xr:uid="{EFA8999A-62C7-1C43-9DD6-0E8532BAEA19}"/>
    <hyperlink ref="B97" r:id="rId27" display="https://www.wisconsin-demographics.com/grant-county-demographics" xr:uid="{9A0E6144-90FA-6F4E-BC28-9BB78A0B853E}"/>
    <hyperlink ref="B144" r:id="rId28" display="https://www.wisconsin-demographics.com/waupaca-county-demographics" xr:uid="{9BBA5055-C5BA-B847-9BB9-538D788DCB07}"/>
    <hyperlink ref="B83" r:id="rId29" display="https://www.wisconsin-demographics.com/calumet-county-demographics" xr:uid="{511275F4-D369-974E-8D5D-8150F37DAD22}"/>
    <hyperlink ref="B117" r:id="rId30" display="https://www.wisconsin-demographics.com/monroe-county-demographics" xr:uid="{8674F707-1136-AE47-AB3C-7360B1466B64}"/>
    <hyperlink ref="B78" r:id="rId31" display="https://www.wisconsin-demographics.com/barron-county-demographics" xr:uid="{6C924F4B-38A0-C347-8397-565A5DFFC2A3}"/>
    <hyperlink ref="B92" r:id="rId32" display="https://www.wisconsin-demographics.com/dunn-county-demographics" xr:uid="{A4DF0661-0DF3-9644-95DF-D9870245518B}"/>
    <hyperlink ref="B124" r:id="rId33" display="https://www.wisconsin-demographics.com/polk-county-demographics" xr:uid="{C3343568-D71D-5C43-B5BD-210CCBFC0EBE}"/>
    <hyperlink ref="B91" r:id="rId34" display="https://www.wisconsin-demographics.com/douglas-county-demographics" xr:uid="{98181909-2D9D-4543-BD4A-FFCD90940714}"/>
    <hyperlink ref="B123" r:id="rId35" display="https://www.wisconsin-demographics.com/pierce-county-demographics" xr:uid="{F51FF2ED-5812-934C-B1F3-3514552A4A50}"/>
    <hyperlink ref="B133" r:id="rId36" display="https://www.wisconsin-demographics.com/shawano-county-demographics" xr:uid="{F6E5DB3D-68A3-654F-83B9-3330362185F9}"/>
    <hyperlink ref="B113" r:id="rId37" display="https://www.wisconsin-demographics.com/marinette-county-demographics" xr:uid="{05CEDE21-6D06-B147-9054-6AF81CD89A22}"/>
    <hyperlink ref="B118" r:id="rId38" display="https://www.wisconsin-demographics.com/oconto-county-demographics" xr:uid="{E9D8E0DE-F694-1C41-8588-95C896DBA1D9}"/>
    <hyperlink ref="B98" r:id="rId39" display="https://www.wisconsin-demographics.com/green-county-demographics" xr:uid="{96549DAB-57AF-EE48-B932-4C39259F256A}"/>
    <hyperlink ref="B119" r:id="rId40" display="https://www.wisconsin-demographics.com/oneida-county-demographics" xr:uid="{C9F29DB0-5AF0-EA40-9DFE-B9EB068BC47D}"/>
    <hyperlink ref="B85" r:id="rId41" display="https://www.wisconsin-demographics.com/clark-county-demographics" xr:uid="{260AC79F-9D62-364B-8DC3-2E1B614E412D}"/>
    <hyperlink ref="B138" r:id="rId42" display="https://www.wisconsin-demographics.com/vernon-county-demographics" xr:uid="{DCC1F884-2597-3048-9319-259DF5082D39}"/>
    <hyperlink ref="B137" r:id="rId43" display="https://www.wisconsin-demographics.com/trempealeau-county-demographics" xr:uid="{39AC4404-7F8F-1641-90A5-F2EA9C932B02}"/>
    <hyperlink ref="B110" r:id="rId44" display="https://www.wisconsin-demographics.com/lincoln-county-demographics" xr:uid="{2FB0A80B-C197-2C46-829B-242919D64203}"/>
    <hyperlink ref="B90" r:id="rId45" display="https://www.wisconsin-demographics.com/door-county-demographics" xr:uid="{3C4DD354-99A7-EB49-8FF5-808F6D51A512}"/>
    <hyperlink ref="B104" r:id="rId46" display="https://www.wisconsin-demographics.com/juneau-county-demographics" xr:uid="{583DC238-256D-8248-9004-585B2F14F339}"/>
    <hyperlink ref="B145" r:id="rId47" display="https://www.wisconsin-demographics.com/waushara-county-demographics" xr:uid="{93FD45EF-55DA-DF40-89E7-AE7CF355D0E1}"/>
    <hyperlink ref="B100" r:id="rId48" display="https://www.wisconsin-demographics.com/iowa-county-demographics" xr:uid="{92436EA6-7074-DB4D-9BC0-83D32DDDD601}"/>
    <hyperlink ref="B139" r:id="rId49" display="https://www.wisconsin-demographics.com/vilas-county-demographics" xr:uid="{68E6AAE7-E234-664A-9E1A-B02A0C55F640}"/>
    <hyperlink ref="B102" r:id="rId50" display="https://www.wisconsin-demographics.com/jackson-county-demographics" xr:uid="{57ADA5D4-1997-C742-982A-A01F291C1777}"/>
    <hyperlink ref="B106" r:id="rId51" display="https://www.wisconsin-demographics.com/kewaunee-county-demographics" xr:uid="{AAEEFB54-792E-9E4C-BA95-8E64F384B467}"/>
    <hyperlink ref="B136" r:id="rId52" display="https://www.wisconsin-demographics.com/taylor-county-demographics" xr:uid="{1B875D77-6081-E845-B19B-DF8A41F30FF3}"/>
    <hyperlink ref="B76" r:id="rId53" display="https://www.wisconsin-demographics.com/adams-county-demographics" xr:uid="{C87FB22C-4246-6647-BD94-8681905C4CD9}"/>
    <hyperlink ref="B109" r:id="rId54" display="https://www.wisconsin-demographics.com/langlade-county-demographics" xr:uid="{AA93EE99-0428-9642-B0B4-C2C81BE01DB9}"/>
    <hyperlink ref="B99" r:id="rId55" display="https://www.wisconsin-demographics.com/green-lake-county-demographics" xr:uid="{2FBD182F-50A7-1C43-AA72-F6285C700940}"/>
    <hyperlink ref="B128" r:id="rId56" display="https://www.wisconsin-demographics.com/richland-county-demographics" xr:uid="{01BDB863-1C5E-BD43-AEB0-0D1DDA3FB38C}"/>
    <hyperlink ref="B108" r:id="rId57" display="https://www.wisconsin-demographics.com/lafayette-county-demographics" xr:uid="{B86E014C-A10B-0740-90D5-DE36E8E4C639}"/>
    <hyperlink ref="B132" r:id="rId58" display="https://www.wisconsin-demographics.com/sawyer-county-demographics" xr:uid="{E5257E0D-AE4E-E54B-8821-02B53C7D339D}"/>
    <hyperlink ref="B87" r:id="rId59" display="https://www.wisconsin-demographics.com/crawford-county-demographics" xr:uid="{709CC15B-68BD-F143-B539-E0CE3A2D6B35}"/>
    <hyperlink ref="B141" r:id="rId60" display="https://www.wisconsin-demographics.com/washburn-county-demographics" xr:uid="{63956D3B-4B10-EC48-A8D6-4DF213E9F4F5}"/>
    <hyperlink ref="B77" r:id="rId61" display="https://www.wisconsin-demographics.com/ashland-county-demographics" xr:uid="{7A1DBD26-FBA1-844B-8E98-B3EFD9590D5E}"/>
    <hyperlink ref="B114" r:id="rId62" display="https://www.wisconsin-demographics.com/marquette-county-demographics" xr:uid="{861CF141-C062-934D-A953-DBC526DF8298}"/>
    <hyperlink ref="B82" r:id="rId63" display="https://www.wisconsin-demographics.com/burnett-county-demographics" xr:uid="{A1636438-56F4-134A-B2D2-797DD174026D}"/>
    <hyperlink ref="B79" r:id="rId64" display="https://www.wisconsin-demographics.com/bayfield-county-demographics" xr:uid="{75790B23-95BC-1D4A-A97A-844AD48627DA}"/>
    <hyperlink ref="B130" r:id="rId65" display="https://www.wisconsin-demographics.com/rusk-county-demographics" xr:uid="{6A9D8E80-0ECE-5D44-B40B-2820F8D4BBFB}"/>
    <hyperlink ref="B126" r:id="rId66" display="https://www.wisconsin-demographics.com/price-county-demographics" xr:uid="{99E473A1-24DA-FF45-A737-C3F82C0509EE}"/>
    <hyperlink ref="B81" r:id="rId67" display="https://www.wisconsin-demographics.com/buffalo-county-demographics" xr:uid="{012D6CEC-FDA2-204C-A34A-C488F56DCA79}"/>
    <hyperlink ref="B96" r:id="rId68" display="https://www.wisconsin-demographics.com/forest-county-demographics" xr:uid="{44ED758D-5F68-5D46-BE88-A803A3F97978}"/>
    <hyperlink ref="B122" r:id="rId69" display="https://www.wisconsin-demographics.com/pepin-county-demographics" xr:uid="{3E03C772-D5A5-C149-AC1A-8BB7ECF2A4A5}"/>
    <hyperlink ref="B101" r:id="rId70" display="https://www.wisconsin-demographics.com/iron-county-demographics" xr:uid="{AE79AFAD-3DA6-464C-B07F-4F53AF760E8A}"/>
    <hyperlink ref="B115" r:id="rId71" display="https://www.wisconsin-demographics.com/menominee-county-demographics" xr:uid="{5170FFB2-D9C3-FD46-99D9-071FC2F16A99}"/>
    <hyperlink ref="B94" r:id="rId72" display="https://www.wisconsin-demographics.com/florence-county-demographics" xr:uid="{9FEA7CAD-43F4-3A4F-ACDC-DD3B6A5AFE38}"/>
  </hyperlinks>
  <pageMargins left="0.7" right="0.7" top="0.75" bottom="0.75" header="0.3" footer="0.3"/>
  <tableParts count="3">
    <tablePart r:id="rId73"/>
    <tablePart r:id="rId74"/>
    <tablePart r:id="rId7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AB807-A447-084B-9912-87F4AE396971}">
  <dimension ref="A1:R137"/>
  <sheetViews>
    <sheetView topLeftCell="A100" workbookViewId="0">
      <selection activeCell="Q10" sqref="Q10"/>
    </sheetView>
  </sheetViews>
  <sheetFormatPr baseColWidth="10" defaultRowHeight="13"/>
  <cols>
    <col min="2" max="2" width="14.1640625" bestFit="1" customWidth="1"/>
    <col min="4" max="4" width="12.1640625" bestFit="1" customWidth="1"/>
    <col min="5" max="5" width="12.1640625" customWidth="1"/>
    <col min="6" max="6" width="16.1640625" style="1" customWidth="1"/>
    <col min="7" max="7" width="19.33203125" bestFit="1" customWidth="1"/>
    <col min="8" max="8" width="24.83203125" bestFit="1" customWidth="1"/>
    <col min="9" max="9" width="15.6640625" style="1" customWidth="1"/>
    <col min="10" max="10" width="15.5" style="1" customWidth="1"/>
    <col min="11" max="11" width="17.33203125" customWidth="1"/>
    <col min="12" max="12" width="17.33203125" style="1" customWidth="1"/>
    <col min="13" max="13" width="14.5" style="1" customWidth="1"/>
    <col min="15" max="16" width="10.83203125" style="1"/>
    <col min="17" max="17" width="19.5" customWidth="1"/>
  </cols>
  <sheetData>
    <row r="1" spans="1:18" ht="21">
      <c r="A1" s="79" t="s">
        <v>69</v>
      </c>
      <c r="B1" s="79" t="s">
        <v>1674</v>
      </c>
      <c r="C1" s="79" t="s">
        <v>1676</v>
      </c>
      <c r="D1" s="1" t="s">
        <v>1677</v>
      </c>
      <c r="E1" s="51"/>
      <c r="F1"/>
      <c r="G1" s="15" t="s">
        <v>165</v>
      </c>
      <c r="H1" s="15" t="s">
        <v>166</v>
      </c>
      <c r="I1" s="15" t="s">
        <v>1677</v>
      </c>
      <c r="J1" s="15" t="s">
        <v>167</v>
      </c>
      <c r="K1" s="15" t="s">
        <v>168</v>
      </c>
      <c r="L1" s="15" t="s">
        <v>68</v>
      </c>
      <c r="M1" s="15" t="s">
        <v>169</v>
      </c>
      <c r="N1" s="15" t="s">
        <v>1678</v>
      </c>
      <c r="P1"/>
      <c r="Q1" t="s">
        <v>267</v>
      </c>
      <c r="R1" t="s">
        <v>328</v>
      </c>
    </row>
    <row r="2" spans="1:18" ht="20">
      <c r="A2" s="78" t="s">
        <v>889</v>
      </c>
      <c r="B2" s="78" t="s">
        <v>297</v>
      </c>
      <c r="C2" s="78">
        <v>116</v>
      </c>
      <c r="D2" s="1">
        <f>Table2931[[#This Row],[Abuse Cases]]/C71</f>
        <v>2.0848685274717374E-3</v>
      </c>
      <c r="E2" s="29"/>
      <c r="F2"/>
      <c r="G2" s="16" t="s">
        <v>922</v>
      </c>
      <c r="H2" s="17">
        <v>19838</v>
      </c>
      <c r="I2" s="80">
        <f>Table31[[#This Row],[TRUMP VOTES]]/C71</f>
        <v>0.35654846420676145</v>
      </c>
      <c r="J2" s="18">
        <v>0.71599999999999997</v>
      </c>
      <c r="K2" s="17">
        <v>7503</v>
      </c>
      <c r="L2" s="80">
        <f>Table31[[#This Row],[BIDEN VOTES]]/C71</f>
        <v>0.13485145311741764</v>
      </c>
      <c r="M2" s="18">
        <v>0.27100000000000002</v>
      </c>
      <c r="N2" s="82">
        <f>1-(Table31[[#This Row],[NbP]]+Table31[[#This Row],[Column1]])</f>
        <v>0.50860008267582091</v>
      </c>
      <c r="P2" t="s">
        <v>1671</v>
      </c>
      <c r="Q2" s="81">
        <f>CORREL(D:D,I:I)</f>
        <v>0.23723656770383172</v>
      </c>
      <c r="R2">
        <v>0.1</v>
      </c>
    </row>
    <row r="3" spans="1:18" ht="20">
      <c r="A3" s="78" t="s">
        <v>890</v>
      </c>
      <c r="B3" s="78" t="s">
        <v>297</v>
      </c>
      <c r="C3" s="78">
        <v>305</v>
      </c>
      <c r="D3" s="1">
        <f>Table2931[[#This Row],[Abuse Cases]]/C72</f>
        <v>1.3972302772929466E-3</v>
      </c>
      <c r="E3" s="29"/>
      <c r="F3"/>
      <c r="G3" s="16" t="s">
        <v>923</v>
      </c>
      <c r="H3" s="17">
        <v>83544</v>
      </c>
      <c r="I3" s="80">
        <f>Table31[[#This Row],[TRUMP VOTES]]/C72</f>
        <v>0.38272198782348171</v>
      </c>
      <c r="J3" s="18">
        <v>0.76400000000000001</v>
      </c>
      <c r="K3" s="17">
        <v>24578</v>
      </c>
      <c r="L3" s="80">
        <f>Table31[[#This Row],[BIDEN VOTES]]/C72</f>
        <v>0.11259385493542964</v>
      </c>
      <c r="M3" s="18">
        <v>0.22500000000000001</v>
      </c>
      <c r="N3" s="82">
        <f>1-(Table31[[#This Row],[NbP]]+Table31[[#This Row],[Column1]])</f>
        <v>0.50468415724108862</v>
      </c>
      <c r="P3" t="s">
        <v>1672</v>
      </c>
      <c r="Q3" s="81">
        <f>CORREL(D:D,L:L)</f>
        <v>-0.37798127781491342</v>
      </c>
      <c r="R3" s="1">
        <v>0.1</v>
      </c>
    </row>
    <row r="4" spans="1:18" ht="20">
      <c r="A4" s="78" t="s">
        <v>857</v>
      </c>
      <c r="B4" s="78" t="s">
        <v>297</v>
      </c>
      <c r="C4" s="78">
        <v>67</v>
      </c>
      <c r="D4" s="1">
        <f>Table2931[[#This Row],[Abuse Cases]]/C73</f>
        <v>2.6772156956764966E-3</v>
      </c>
      <c r="E4" s="29"/>
      <c r="F4"/>
      <c r="G4" s="16" t="s">
        <v>825</v>
      </c>
      <c r="H4" s="17">
        <v>5622</v>
      </c>
      <c r="I4" s="80">
        <f>Table31[[#This Row],[TRUMP VOTES]]/C73</f>
        <v>0.22464636777751137</v>
      </c>
      <c r="J4" s="18">
        <v>0.53500000000000003</v>
      </c>
      <c r="K4" s="17">
        <v>4816</v>
      </c>
      <c r="L4" s="80">
        <f>Table31[[#This Row],[BIDEN VOTES]]/C73</f>
        <v>0.19243986254295534</v>
      </c>
      <c r="M4" s="18">
        <v>0.45800000000000002</v>
      </c>
      <c r="N4" s="82">
        <f>1-(Table31[[#This Row],[NbP]]+Table31[[#This Row],[Column1]])</f>
        <v>0.58291376967953323</v>
      </c>
      <c r="P4" t="s">
        <v>1679</v>
      </c>
      <c r="Q4" s="37">
        <f>CORREL(D:D,N:N)</f>
        <v>0.12469911594591436</v>
      </c>
      <c r="R4" s="1">
        <v>0.1</v>
      </c>
    </row>
    <row r="5" spans="1:18" ht="20">
      <c r="A5" s="78" t="s">
        <v>891</v>
      </c>
      <c r="B5" s="78" t="s">
        <v>297</v>
      </c>
      <c r="C5" s="78">
        <v>38</v>
      </c>
      <c r="D5" s="1">
        <f>Table2931[[#This Row],[Abuse Cases]]/C74</f>
        <v>1.6983999284884241E-3</v>
      </c>
      <c r="E5" s="29"/>
      <c r="F5"/>
      <c r="G5" s="16" t="s">
        <v>924</v>
      </c>
      <c r="H5" s="17">
        <v>7525</v>
      </c>
      <c r="I5" s="80">
        <f>Table31[[#This Row],[TRUMP VOTES]]/C74</f>
        <v>0.3363278805756682</v>
      </c>
      <c r="J5" s="18">
        <v>0.78500000000000003</v>
      </c>
      <c r="K5" s="17">
        <v>1986</v>
      </c>
      <c r="L5" s="80">
        <f>Table31[[#This Row],[BIDEN VOTES]]/C74</f>
        <v>8.8763743631000272E-2</v>
      </c>
      <c r="M5" s="18">
        <v>0.20699999999999999</v>
      </c>
      <c r="N5" s="82">
        <f>1-(Table31[[#This Row],[NbP]]+Table31[[#This Row],[Column1]])</f>
        <v>0.57490837579333154</v>
      </c>
      <c r="P5"/>
    </row>
    <row r="6" spans="1:18" ht="20">
      <c r="A6" s="78" t="s">
        <v>75</v>
      </c>
      <c r="B6" s="78" t="s">
        <v>297</v>
      </c>
      <c r="C6" s="78">
        <v>220</v>
      </c>
      <c r="D6" s="1">
        <f>Table2931[[#This Row],[Abuse Cases]]/C75</f>
        <v>3.8091940091766947E-3</v>
      </c>
      <c r="E6" s="29"/>
      <c r="F6"/>
      <c r="G6" s="16" t="s">
        <v>174</v>
      </c>
      <c r="H6" s="17">
        <v>24711</v>
      </c>
      <c r="I6" s="80">
        <f>Table31[[#This Row],[TRUMP VOTES]]/C75</f>
        <v>0.42785905982166045</v>
      </c>
      <c r="J6" s="18">
        <v>0.89700000000000002</v>
      </c>
      <c r="K6" s="17">
        <v>2640</v>
      </c>
      <c r="L6" s="80">
        <f>Table31[[#This Row],[BIDEN VOTES]]/C75</f>
        <v>4.5710328110120338E-2</v>
      </c>
      <c r="M6" s="18">
        <v>9.6000000000000002E-2</v>
      </c>
      <c r="N6" s="82">
        <f>1-(Table31[[#This Row],[NbP]]+Table31[[#This Row],[Column1]])</f>
        <v>0.52643061206821917</v>
      </c>
      <c r="P6"/>
    </row>
    <row r="7" spans="1:18" ht="20">
      <c r="A7" s="78" t="s">
        <v>892</v>
      </c>
      <c r="B7" s="78" t="s">
        <v>297</v>
      </c>
      <c r="C7" s="78">
        <v>30</v>
      </c>
      <c r="D7" s="1">
        <f>Table2931[[#This Row],[Abuse Cases]]/C76</f>
        <v>2.9489826010026541E-3</v>
      </c>
      <c r="E7" s="29"/>
      <c r="F7"/>
      <c r="G7" s="16" t="s">
        <v>925</v>
      </c>
      <c r="H7" s="17">
        <v>1146</v>
      </c>
      <c r="I7" s="80">
        <f>Table31[[#This Row],[TRUMP VOTES]]/C76</f>
        <v>0.11265113535830139</v>
      </c>
      <c r="J7" s="18">
        <v>0.249</v>
      </c>
      <c r="K7" s="17">
        <v>3446</v>
      </c>
      <c r="L7" s="80">
        <f>Table31[[#This Row],[BIDEN VOTES]]/C76</f>
        <v>0.33873980143517152</v>
      </c>
      <c r="M7" s="18">
        <v>0.747</v>
      </c>
      <c r="N7" s="82">
        <f>1-(Table31[[#This Row],[NbP]]+Table31[[#This Row],[Column1]])</f>
        <v>0.54860906320652703</v>
      </c>
      <c r="P7"/>
    </row>
    <row r="8" spans="1:18" ht="20">
      <c r="A8" s="78" t="s">
        <v>893</v>
      </c>
      <c r="B8" s="78" t="s">
        <v>297</v>
      </c>
      <c r="C8" s="78">
        <v>42</v>
      </c>
      <c r="D8" s="1">
        <f>Table2931[[#This Row],[Abuse Cases]]/C77</f>
        <v>2.1291696238466998E-3</v>
      </c>
      <c r="E8" s="29"/>
      <c r="F8"/>
      <c r="G8" s="16" t="s">
        <v>926</v>
      </c>
      <c r="H8" s="17">
        <v>5458</v>
      </c>
      <c r="I8" s="80">
        <f>Table31[[#This Row],[TRUMP VOTES]]/C77</f>
        <v>0.27669066207036397</v>
      </c>
      <c r="J8" s="18">
        <v>0.57599999999999996</v>
      </c>
      <c r="K8" s="17">
        <v>3965</v>
      </c>
      <c r="L8" s="80">
        <f>Table31[[#This Row],[BIDEN VOTES]]/C77</f>
        <v>0.20100375139409915</v>
      </c>
      <c r="M8" s="18">
        <v>0.41799999999999998</v>
      </c>
      <c r="N8" s="82">
        <f>1-(Table31[[#This Row],[NbP]]+Table31[[#This Row],[Column1]])</f>
        <v>0.52230558653553683</v>
      </c>
      <c r="P8"/>
    </row>
    <row r="9" spans="1:18" ht="20">
      <c r="A9" s="78" t="s">
        <v>586</v>
      </c>
      <c r="B9" s="78" t="s">
        <v>297</v>
      </c>
      <c r="C9" s="78">
        <v>287</v>
      </c>
      <c r="D9" s="1">
        <f>Table2931[[#This Row],[Abuse Cases]]/C78</f>
        <v>2.5104090129806516E-3</v>
      </c>
      <c r="E9" s="29"/>
      <c r="F9"/>
      <c r="G9" s="16" t="s">
        <v>358</v>
      </c>
      <c r="H9" s="17">
        <v>35101</v>
      </c>
      <c r="I9" s="80">
        <f>Table31[[#This Row],[TRUMP VOTES]]/C78</f>
        <v>0.30703089465029215</v>
      </c>
      <c r="J9" s="18">
        <v>0.69</v>
      </c>
      <c r="K9" s="17">
        <v>15216</v>
      </c>
      <c r="L9" s="80">
        <f>Table31[[#This Row],[BIDEN VOTES]]/C78</f>
        <v>0.13309541303663272</v>
      </c>
      <c r="M9" s="18">
        <v>0.29899999999999999</v>
      </c>
      <c r="N9" s="82">
        <f>1-(Table31[[#This Row],[NbP]]+Table31[[#This Row],[Column1]])</f>
        <v>0.55987369231307516</v>
      </c>
      <c r="P9"/>
    </row>
    <row r="10" spans="1:18" ht="20">
      <c r="A10" s="78" t="s">
        <v>593</v>
      </c>
      <c r="B10" s="78" t="s">
        <v>297</v>
      </c>
      <c r="C10" s="78">
        <v>43</v>
      </c>
      <c r="D10" s="1">
        <f>Table2931[[#This Row],[Abuse Cases]]/C79</f>
        <v>1.2863852574266311E-3</v>
      </c>
      <c r="E10" s="29"/>
      <c r="F10"/>
      <c r="G10" s="16" t="s">
        <v>365</v>
      </c>
      <c r="H10" s="17">
        <v>8753</v>
      </c>
      <c r="I10" s="80">
        <f>Table31[[#This Row],[TRUMP VOTES]]/C79</f>
        <v>0.26185418972686753</v>
      </c>
      <c r="J10" s="18">
        <v>0.57399999999999995</v>
      </c>
      <c r="K10" s="17">
        <v>6365</v>
      </c>
      <c r="L10" s="80">
        <f>Table31[[#This Row],[BIDEN VOTES]]/C79</f>
        <v>0.19041493403536064</v>
      </c>
      <c r="M10" s="18">
        <v>0.41699999999999998</v>
      </c>
      <c r="N10" s="82">
        <f>1-(Table31[[#This Row],[NbP]]+Table31[[#This Row],[Column1]])</f>
        <v>0.54773087623777184</v>
      </c>
      <c r="P10"/>
    </row>
    <row r="11" spans="1:18" ht="20">
      <c r="A11" s="78" t="s">
        <v>594</v>
      </c>
      <c r="B11" s="78" t="s">
        <v>297</v>
      </c>
      <c r="C11" s="78">
        <v>82</v>
      </c>
      <c r="D11" s="1">
        <f>Table2931[[#This Row],[Abuse Cases]]/C80</f>
        <v>3.1496062992125984E-3</v>
      </c>
      <c r="E11" s="29"/>
      <c r="F11"/>
      <c r="G11" s="16" t="s">
        <v>366</v>
      </c>
      <c r="H11" s="17">
        <v>10583</v>
      </c>
      <c r="I11" s="80">
        <f>Table31[[#This Row],[TRUMP VOTES]]/C80</f>
        <v>0.40649126176301131</v>
      </c>
      <c r="J11" s="18">
        <v>0.86099999999999999</v>
      </c>
      <c r="K11" s="17">
        <v>1624</v>
      </c>
      <c r="L11" s="80">
        <f>Table31[[#This Row],[BIDEN VOTES]]/C80</f>
        <v>6.2377568657576342E-2</v>
      </c>
      <c r="M11" s="18">
        <v>0.13200000000000001</v>
      </c>
      <c r="N11" s="82">
        <f>1-(Table31[[#This Row],[NbP]]+Table31[[#This Row],[Column1]])</f>
        <v>0.53113116957941231</v>
      </c>
      <c r="P11"/>
    </row>
    <row r="12" spans="1:18" ht="20">
      <c r="A12" s="78" t="s">
        <v>894</v>
      </c>
      <c r="B12" s="78" t="s">
        <v>297</v>
      </c>
      <c r="C12" s="78">
        <v>65</v>
      </c>
      <c r="D12" s="1">
        <f>Table2931[[#This Row],[Abuse Cases]]/C81</f>
        <v>1.4723537273200896E-3</v>
      </c>
      <c r="E12" s="29"/>
      <c r="F12"/>
      <c r="G12" s="16" t="s">
        <v>927</v>
      </c>
      <c r="H12" s="17">
        <v>16085</v>
      </c>
      <c r="I12" s="80">
        <f>Table31[[#This Row],[TRUMP VOTES]]/C81</f>
        <v>0.36435091852220991</v>
      </c>
      <c r="J12" s="18">
        <v>0.83399999999999996</v>
      </c>
      <c r="K12" s="17">
        <v>3073</v>
      </c>
      <c r="L12" s="80">
        <f>Table31[[#This Row],[BIDEN VOTES]]/C81</f>
        <v>6.9608353908532858E-2</v>
      </c>
      <c r="M12" s="18">
        <v>0.159</v>
      </c>
      <c r="N12" s="82">
        <f>1-(Table31[[#This Row],[NbP]]+Table31[[#This Row],[Column1]])</f>
        <v>0.56604072756925716</v>
      </c>
      <c r="P12"/>
    </row>
    <row r="13" spans="1:18" ht="20">
      <c r="A13" s="78" t="s">
        <v>895</v>
      </c>
      <c r="B13" s="78" t="s">
        <v>297</v>
      </c>
      <c r="C13" s="78">
        <v>22</v>
      </c>
      <c r="D13" s="1">
        <f>Table2931[[#This Row],[Abuse Cases]]/C82</f>
        <v>1.7248137985103882E-3</v>
      </c>
      <c r="E13" s="29"/>
      <c r="F13"/>
      <c r="G13" s="16" t="s">
        <v>928</v>
      </c>
      <c r="H13" s="17">
        <v>4296</v>
      </c>
      <c r="I13" s="80">
        <f>Table31[[#This Row],[TRUMP VOTES]]/C82</f>
        <v>0.33680909447275575</v>
      </c>
      <c r="J13" s="18">
        <v>0.57599999999999996</v>
      </c>
      <c r="K13" s="17">
        <v>3127</v>
      </c>
      <c r="L13" s="80">
        <f>Table31[[#This Row],[BIDEN VOTES]]/C82</f>
        <v>0.24515876127009015</v>
      </c>
      <c r="M13" s="18">
        <v>0.41899999999999998</v>
      </c>
      <c r="N13" s="82">
        <f>1-(Table31[[#This Row],[NbP]]+Table31[[#This Row],[Column1]])</f>
        <v>0.41803214425715407</v>
      </c>
      <c r="P13"/>
    </row>
    <row r="14" spans="1:18" ht="20">
      <c r="A14" s="78" t="s">
        <v>896</v>
      </c>
      <c r="B14" s="78" t="s">
        <v>297</v>
      </c>
      <c r="C14" s="78">
        <v>34</v>
      </c>
      <c r="D14" s="1">
        <f>Table2931[[#This Row],[Abuse Cases]]/C83</f>
        <v>1.4246207994636723E-3</v>
      </c>
      <c r="E14" s="29"/>
      <c r="F14"/>
      <c r="G14" s="16" t="s">
        <v>929</v>
      </c>
      <c r="H14" s="17">
        <v>7324</v>
      </c>
      <c r="I14" s="80">
        <f>Table31[[#This Row],[TRUMP VOTES]]/C83</f>
        <v>0.30688008044917453</v>
      </c>
      <c r="J14" s="18">
        <v>0.55800000000000005</v>
      </c>
      <c r="K14" s="17">
        <v>5755</v>
      </c>
      <c r="L14" s="80">
        <f>Table31[[#This Row],[BIDEN VOTES]]/C83</f>
        <v>0.24113802061510098</v>
      </c>
      <c r="M14" s="18">
        <v>0.438</v>
      </c>
      <c r="N14" s="82">
        <f>1-(Table31[[#This Row],[NbP]]+Table31[[#This Row],[Column1]])</f>
        <v>0.45198189893572449</v>
      </c>
      <c r="P14"/>
    </row>
    <row r="15" spans="1:18" ht="20">
      <c r="A15" s="78" t="s">
        <v>84</v>
      </c>
      <c r="B15" s="78" t="s">
        <v>297</v>
      </c>
      <c r="C15" s="78">
        <v>14</v>
      </c>
      <c r="D15" s="1">
        <f>Table2931[[#This Row],[Abuse Cases]]/C84</f>
        <v>1.0538200978547235E-3</v>
      </c>
      <c r="E15" s="29"/>
      <c r="F15"/>
      <c r="G15" s="16" t="s">
        <v>183</v>
      </c>
      <c r="H15" s="17">
        <v>5601</v>
      </c>
      <c r="I15" s="80">
        <f>Table31[[#This Row],[TRUMP VOTES]]/C84</f>
        <v>0.4216033120060218</v>
      </c>
      <c r="J15" s="18">
        <v>0.80900000000000005</v>
      </c>
      <c r="K15" s="17">
        <v>1267</v>
      </c>
      <c r="L15" s="80">
        <f>Table31[[#This Row],[BIDEN VOTES]]/C84</f>
        <v>9.5370718855852465E-2</v>
      </c>
      <c r="M15" s="18">
        <v>0.183</v>
      </c>
      <c r="N15" s="82">
        <f>1-(Table31[[#This Row],[NbP]]+Table31[[#This Row],[Column1]])</f>
        <v>0.48302596913812579</v>
      </c>
      <c r="P15"/>
    </row>
    <row r="16" spans="1:18" ht="20">
      <c r="A16" s="78" t="s">
        <v>897</v>
      </c>
      <c r="B16" s="78" t="s">
        <v>297</v>
      </c>
      <c r="C16" s="78">
        <v>59</v>
      </c>
      <c r="D16" s="1">
        <f>Table2931[[#This Row],[Abuse Cases]]/C85</f>
        <v>3.9459604066345638E-3</v>
      </c>
      <c r="E16" s="29"/>
      <c r="F16"/>
      <c r="G16" s="16" t="s">
        <v>930</v>
      </c>
      <c r="H16" s="17">
        <v>6484</v>
      </c>
      <c r="I16" s="80">
        <f>Table31[[#This Row],[TRUMP VOTES]]/C85</f>
        <v>0.43365436062065277</v>
      </c>
      <c r="J16" s="18">
        <v>0.89800000000000002</v>
      </c>
      <c r="K16" s="19">
        <v>675</v>
      </c>
      <c r="L16" s="80">
        <f>Table31[[#This Row],[BIDEN VOTES]]/C85</f>
        <v>4.5144462279293737E-2</v>
      </c>
      <c r="M16" s="18">
        <v>9.4E-2</v>
      </c>
      <c r="N16" s="82">
        <f>1-(Table31[[#This Row],[NbP]]+Table31[[#This Row],[Column1]])</f>
        <v>0.52120117710005354</v>
      </c>
      <c r="P16"/>
    </row>
    <row r="17" spans="1:16" ht="20">
      <c r="A17" s="78" t="s">
        <v>86</v>
      </c>
      <c r="B17" s="78" t="s">
        <v>297</v>
      </c>
      <c r="C17" s="78">
        <v>67</v>
      </c>
      <c r="D17" s="1">
        <f>Table2931[[#This Row],[Abuse Cases]]/C86</f>
        <v>1.2825912171216356E-3</v>
      </c>
      <c r="E17" s="29"/>
      <c r="F17"/>
      <c r="G17" s="16" t="s">
        <v>185</v>
      </c>
      <c r="H17" s="17">
        <v>16899</v>
      </c>
      <c r="I17" s="80">
        <f>Table31[[#This Row],[TRUMP VOTES]]/C86</f>
        <v>0.32350013400206745</v>
      </c>
      <c r="J17" s="18">
        <v>0.76</v>
      </c>
      <c r="K17" s="17">
        <v>5076</v>
      </c>
      <c r="L17" s="80">
        <f>Table31[[#This Row],[BIDEN VOTES]]/C86</f>
        <v>9.7170642061334661E-2</v>
      </c>
      <c r="M17" s="18">
        <v>0.22800000000000001</v>
      </c>
      <c r="N17" s="82">
        <f>1-(Table31[[#This Row],[NbP]]+Table31[[#This Row],[Column1]])</f>
        <v>0.57932922393659791</v>
      </c>
      <c r="P17"/>
    </row>
    <row r="18" spans="1:16" ht="20">
      <c r="A18" s="78" t="s">
        <v>898</v>
      </c>
      <c r="B18" s="78" t="s">
        <v>297</v>
      </c>
      <c r="C18" s="78">
        <v>157</v>
      </c>
      <c r="D18" s="1">
        <f>Table2931[[#This Row],[Abuse Cases]]/C87</f>
        <v>2.8567789362592571E-3</v>
      </c>
      <c r="E18" s="29"/>
      <c r="F18"/>
      <c r="G18" s="16" t="s">
        <v>931</v>
      </c>
      <c r="H18" s="17">
        <v>19203</v>
      </c>
      <c r="I18" s="80">
        <f>Table31[[#This Row],[TRUMP VOTES]]/C87</f>
        <v>0.34941863638844917</v>
      </c>
      <c r="J18" s="18">
        <v>0.69</v>
      </c>
      <c r="K18" s="17">
        <v>8343</v>
      </c>
      <c r="L18" s="80">
        <f>Table31[[#This Row],[BIDEN VOTES]]/C87</f>
        <v>0.15180959659370052</v>
      </c>
      <c r="M18" s="18">
        <v>0.3</v>
      </c>
      <c r="N18" s="82">
        <f>1-(Table31[[#This Row],[NbP]]+Table31[[#This Row],[Column1]])</f>
        <v>0.49877176701785031</v>
      </c>
      <c r="P18"/>
    </row>
    <row r="19" spans="1:16" ht="20">
      <c r="A19" s="78" t="s">
        <v>899</v>
      </c>
      <c r="B19" s="78" t="s">
        <v>297</v>
      </c>
      <c r="C19" s="78">
        <v>38</v>
      </c>
      <c r="D19" s="1">
        <f>Table2931[[#This Row],[Abuse Cases]]/C88</f>
        <v>3.1099107946640477E-3</v>
      </c>
      <c r="E19" s="29"/>
      <c r="F19"/>
      <c r="G19" s="16" t="s">
        <v>932</v>
      </c>
      <c r="H19" s="17">
        <v>3442</v>
      </c>
      <c r="I19" s="80">
        <f>Table31[[#This Row],[TRUMP VOTES]]/C88</f>
        <v>0.28169244619035927</v>
      </c>
      <c r="J19" s="18">
        <v>0.53400000000000003</v>
      </c>
      <c r="K19" s="17">
        <v>2966</v>
      </c>
      <c r="L19" s="80">
        <f>Table31[[#This Row],[BIDEN VOTES]]/C88</f>
        <v>0.24273672149930436</v>
      </c>
      <c r="M19" s="18">
        <v>0.46100000000000002</v>
      </c>
      <c r="N19" s="82">
        <f>1-(Table31[[#This Row],[NbP]]+Table31[[#This Row],[Column1]])</f>
        <v>0.47557083231033637</v>
      </c>
      <c r="P19"/>
    </row>
    <row r="20" spans="1:16" ht="20">
      <c r="A20" s="78" t="s">
        <v>900</v>
      </c>
      <c r="B20" s="78" t="s">
        <v>297</v>
      </c>
      <c r="C20" s="78">
        <v>27</v>
      </c>
      <c r="D20" s="1">
        <f>Table2931[[#This Row],[Abuse Cases]]/C89</f>
        <v>2.5243081525804039E-3</v>
      </c>
      <c r="E20" s="29"/>
      <c r="F20"/>
      <c r="G20" s="16" t="s">
        <v>933</v>
      </c>
      <c r="H20" s="17">
        <v>3631</v>
      </c>
      <c r="I20" s="80">
        <f>Table31[[#This Row],[TRUMP VOTES]]/C89</f>
        <v>0.3394727000747943</v>
      </c>
      <c r="J20" s="18">
        <v>0.66300000000000003</v>
      </c>
      <c r="K20" s="17">
        <v>1796</v>
      </c>
      <c r="L20" s="80">
        <f>Table31[[#This Row],[BIDEN VOTES]]/C89</f>
        <v>0.16791323859386686</v>
      </c>
      <c r="M20" s="18">
        <v>0.32800000000000001</v>
      </c>
      <c r="N20" s="82">
        <f>1-(Table31[[#This Row],[NbP]]+Table31[[#This Row],[Column1]])</f>
        <v>0.49261406133133878</v>
      </c>
      <c r="P20"/>
    </row>
    <row r="21" spans="1:16" ht="20">
      <c r="A21" s="78" t="s">
        <v>901</v>
      </c>
      <c r="B21" s="78" t="s">
        <v>297</v>
      </c>
      <c r="C21" s="78">
        <v>122</v>
      </c>
      <c r="D21" s="1">
        <f>Table2931[[#This Row],[Abuse Cases]]/C90</f>
        <v>3.2887642872546905E-3</v>
      </c>
      <c r="E21" s="29"/>
      <c r="F21"/>
      <c r="G21" s="16" t="s">
        <v>934</v>
      </c>
      <c r="H21" s="17">
        <v>14586</v>
      </c>
      <c r="I21" s="80">
        <f>Table31[[#This Row],[TRUMP VOTES]]/C90</f>
        <v>0.39319603191718783</v>
      </c>
      <c r="J21" s="18">
        <v>0.83799999999999997</v>
      </c>
      <c r="K21" s="17">
        <v>2721</v>
      </c>
      <c r="L21" s="80">
        <f>Table31[[#This Row],[BIDEN VOTES]]/C90</f>
        <v>7.3350226439508309E-2</v>
      </c>
      <c r="M21" s="18">
        <v>0.156</v>
      </c>
      <c r="N21" s="82">
        <f>1-(Table31[[#This Row],[NbP]]+Table31[[#This Row],[Column1]])</f>
        <v>0.53345374164330384</v>
      </c>
      <c r="P21"/>
    </row>
    <row r="22" spans="1:16" ht="20">
      <c r="A22" s="78" t="s">
        <v>902</v>
      </c>
      <c r="B22" s="78" t="s">
        <v>297</v>
      </c>
      <c r="C22" s="78">
        <v>23</v>
      </c>
      <c r="D22" s="1">
        <f>Table2931[[#This Row],[Abuse Cases]]/C91</f>
        <v>1.6635324750470129E-3</v>
      </c>
      <c r="E22" s="29"/>
      <c r="F22"/>
      <c r="G22" s="16" t="s">
        <v>935</v>
      </c>
      <c r="H22" s="17">
        <v>4864</v>
      </c>
      <c r="I22" s="80">
        <f>Table31[[#This Row],[TRUMP VOTES]]/C91</f>
        <v>0.35180095472298567</v>
      </c>
      <c r="J22" s="18">
        <v>0.73599999999999999</v>
      </c>
      <c r="K22" s="17">
        <v>1700</v>
      </c>
      <c r="L22" s="80">
        <f>Table31[[#This Row],[BIDEN VOTES]]/C91</f>
        <v>0.12295674815564878</v>
      </c>
      <c r="M22" s="18">
        <v>0.25700000000000001</v>
      </c>
      <c r="N22" s="82">
        <f>1-(Table31[[#This Row],[NbP]]+Table31[[#This Row],[Column1]])</f>
        <v>0.5252422971213655</v>
      </c>
      <c r="P22"/>
    </row>
    <row r="23" spans="1:16" ht="20">
      <c r="A23" s="78" t="s">
        <v>903</v>
      </c>
      <c r="B23" s="78" t="s">
        <v>297</v>
      </c>
      <c r="C23" s="78">
        <v>189</v>
      </c>
      <c r="D23" s="1">
        <f>Table2931[[#This Row],[Abuse Cases]]/C92</f>
        <v>2.2676825244465773E-3</v>
      </c>
      <c r="E23" s="29"/>
      <c r="F23"/>
      <c r="G23" s="16" t="s">
        <v>936</v>
      </c>
      <c r="H23" s="17">
        <v>36880</v>
      </c>
      <c r="I23" s="80">
        <f>Table31[[#This Row],[TRUMP VOTES]]/C92</f>
        <v>0.4424980502729618</v>
      </c>
      <c r="J23" s="18">
        <v>0.88300000000000001</v>
      </c>
      <c r="K23" s="17">
        <v>4478</v>
      </c>
      <c r="L23" s="80">
        <f>Table31[[#This Row],[BIDEN VOTES]]/C92</f>
        <v>5.3728478013078167E-2</v>
      </c>
      <c r="M23" s="18">
        <v>0.107</v>
      </c>
      <c r="N23" s="82">
        <f>1-(Table31[[#This Row],[NbP]]+Table31[[#This Row],[Column1]])</f>
        <v>0.50377347171396003</v>
      </c>
      <c r="P23"/>
    </row>
    <row r="24" spans="1:16" ht="20">
      <c r="A24" s="78" t="s">
        <v>904</v>
      </c>
      <c r="B24" s="78" t="s">
        <v>297</v>
      </c>
      <c r="C24" s="78">
        <v>85</v>
      </c>
      <c r="D24" s="1">
        <f>Table2931[[#This Row],[Abuse Cases]]/C93</f>
        <v>1.7243827724017608E-3</v>
      </c>
      <c r="E24" s="29"/>
      <c r="F24"/>
      <c r="G24" s="16" t="s">
        <v>937</v>
      </c>
      <c r="H24" s="17">
        <v>14303</v>
      </c>
      <c r="I24" s="80">
        <f>Table31[[#This Row],[TRUMP VOTES]]/C93</f>
        <v>0.29016290345485163</v>
      </c>
      <c r="J24" s="18">
        <v>0.72599999999999998</v>
      </c>
      <c r="K24" s="17">
        <v>5170</v>
      </c>
      <c r="L24" s="80">
        <f>Table31[[#This Row],[BIDEN VOTES]]/C93</f>
        <v>0.10488304627431887</v>
      </c>
      <c r="M24" s="18">
        <v>0.26200000000000001</v>
      </c>
      <c r="N24" s="82">
        <f>1-(Table31[[#This Row],[NbP]]+Table31[[#This Row],[Column1]])</f>
        <v>0.60495405027082949</v>
      </c>
      <c r="P24"/>
    </row>
    <row r="25" spans="1:16" ht="20">
      <c r="A25" s="78" t="s">
        <v>611</v>
      </c>
      <c r="B25" s="78" t="s">
        <v>297</v>
      </c>
      <c r="C25" s="78">
        <v>69</v>
      </c>
      <c r="D25" s="1">
        <f>Table2931[[#This Row],[Abuse Cases]]/C94</f>
        <v>1.8070395977372721E-3</v>
      </c>
      <c r="E25" s="29"/>
      <c r="F25"/>
      <c r="G25" s="16" t="s">
        <v>384</v>
      </c>
      <c r="H25" s="17">
        <v>5524</v>
      </c>
      <c r="I25" s="80">
        <f>Table31[[#This Row],[TRUMP VOTES]]/C94</f>
        <v>0.14466792373769119</v>
      </c>
      <c r="J25" s="18">
        <v>0.31</v>
      </c>
      <c r="K25" s="17">
        <v>12230</v>
      </c>
      <c r="L25" s="80">
        <f>Table31[[#This Row],[BIDEN VOTES]]/C94</f>
        <v>0.32029122145401218</v>
      </c>
      <c r="M25" s="18">
        <v>0.68500000000000005</v>
      </c>
      <c r="N25" s="82">
        <f>1-(Table31[[#This Row],[NbP]]+Table31[[#This Row],[Column1]])</f>
        <v>0.53504085480829666</v>
      </c>
      <c r="P25"/>
    </row>
    <row r="26" spans="1:16" ht="20">
      <c r="A26" s="78" t="s">
        <v>91</v>
      </c>
      <c r="B26" s="78" t="s">
        <v>297</v>
      </c>
      <c r="C26" s="78">
        <v>222</v>
      </c>
      <c r="D26" s="1">
        <f>Table2931[[#This Row],[Abuse Cases]]/C95</f>
        <v>3.1079378412431752E-3</v>
      </c>
      <c r="E26" s="29"/>
      <c r="F26"/>
      <c r="G26" s="16" t="s">
        <v>190</v>
      </c>
      <c r="H26" s="17">
        <v>24767</v>
      </c>
      <c r="I26" s="80">
        <f>Table31[[#This Row],[TRUMP VOTES]]/C95</f>
        <v>0.34673106537869242</v>
      </c>
      <c r="J26" s="18">
        <v>0.84499999999999997</v>
      </c>
      <c r="K26" s="17">
        <v>4281</v>
      </c>
      <c r="L26" s="80">
        <f>Table31[[#This Row],[BIDEN VOTES]]/C95</f>
        <v>5.9932801343973122E-2</v>
      </c>
      <c r="M26" s="18">
        <v>0.14599999999999999</v>
      </c>
      <c r="N26" s="82">
        <f>1-(Table31[[#This Row],[NbP]]+Table31[[#This Row],[Column1]])</f>
        <v>0.59333613327733448</v>
      </c>
      <c r="P26"/>
    </row>
    <row r="27" spans="1:16" ht="20">
      <c r="A27" s="78" t="s">
        <v>905</v>
      </c>
      <c r="B27" s="78" t="s">
        <v>297</v>
      </c>
      <c r="C27" s="78">
        <v>88</v>
      </c>
      <c r="D27" s="1">
        <f>Table2931[[#This Row],[Abuse Cases]]/C96</f>
        <v>1.0794102494909598E-3</v>
      </c>
      <c r="E27" s="29"/>
      <c r="F27"/>
      <c r="G27" s="16" t="s">
        <v>820</v>
      </c>
      <c r="H27" s="17">
        <v>30164</v>
      </c>
      <c r="I27" s="80">
        <f>Table31[[#This Row],[TRUMP VOTES]]/C96</f>
        <v>0.36999239506415132</v>
      </c>
      <c r="J27" s="18">
        <v>0.73699999999999999</v>
      </c>
      <c r="K27" s="17">
        <v>10367</v>
      </c>
      <c r="L27" s="80">
        <f>Table31[[#This Row],[BIDEN VOTES]]/C96</f>
        <v>0.12716188700537251</v>
      </c>
      <c r="M27" s="18">
        <v>0.253</v>
      </c>
      <c r="N27" s="82">
        <f>1-(Table31[[#This Row],[NbP]]+Table31[[#This Row],[Column1]])</f>
        <v>0.50284571793047617</v>
      </c>
      <c r="P27"/>
    </row>
    <row r="28" spans="1:16" ht="20">
      <c r="A28" s="78" t="s">
        <v>906</v>
      </c>
      <c r="B28" s="78" t="s">
        <v>297</v>
      </c>
      <c r="C28" s="78">
        <v>119</v>
      </c>
      <c r="D28" s="1">
        <f>Table2931[[#This Row],[Abuse Cases]]/C97</f>
        <v>3.2358939496940856E-3</v>
      </c>
      <c r="E28" s="29"/>
      <c r="F28"/>
      <c r="G28" s="16" t="s">
        <v>938</v>
      </c>
      <c r="H28" s="17">
        <v>10869</v>
      </c>
      <c r="I28" s="80">
        <f>Table31[[#This Row],[TRUMP VOTES]]/C97</f>
        <v>0.29555404486743714</v>
      </c>
      <c r="J28" s="18">
        <v>0.68400000000000005</v>
      </c>
      <c r="K28" s="17">
        <v>4918</v>
      </c>
      <c r="L28" s="80">
        <f>Table31[[#This Row],[BIDEN VOTES]]/C97</f>
        <v>0.13373215499660096</v>
      </c>
      <c r="M28" s="18">
        <v>0.31</v>
      </c>
      <c r="N28" s="82">
        <f>1-(Table31[[#This Row],[NbP]]+Table31[[#This Row],[Column1]])</f>
        <v>0.57071380013596196</v>
      </c>
      <c r="P28"/>
    </row>
    <row r="29" spans="1:16" ht="20">
      <c r="A29" s="78" t="s">
        <v>907</v>
      </c>
      <c r="B29" s="78" t="s">
        <v>297</v>
      </c>
      <c r="C29" s="78">
        <v>324</v>
      </c>
      <c r="D29" s="1">
        <f>Table2931[[#This Row],[Abuse Cases]]/C98</f>
        <v>3.1541749009452789E-3</v>
      </c>
      <c r="E29" s="29"/>
      <c r="F29"/>
      <c r="G29" s="16" t="s">
        <v>939</v>
      </c>
      <c r="H29" s="17">
        <v>35528</v>
      </c>
      <c r="I29" s="80">
        <f>Table31[[#This Row],[TRUMP VOTES]]/C98</f>
        <v>0.34586890703945639</v>
      </c>
      <c r="J29" s="18">
        <v>0.746</v>
      </c>
      <c r="K29" s="17">
        <v>11567</v>
      </c>
      <c r="L29" s="80">
        <f>Table31[[#This Row],[BIDEN VOTES]]/C98</f>
        <v>0.11260599098529026</v>
      </c>
      <c r="M29" s="18">
        <v>0.24299999999999999</v>
      </c>
      <c r="N29" s="82">
        <f>1-(Table31[[#This Row],[NbP]]+Table31[[#This Row],[Column1]])</f>
        <v>0.54152510197525339</v>
      </c>
      <c r="P29"/>
    </row>
    <row r="30" spans="1:16" ht="20">
      <c r="A30" s="78" t="s">
        <v>94</v>
      </c>
      <c r="B30" s="78" t="s">
        <v>297</v>
      </c>
      <c r="C30" s="78">
        <v>45</v>
      </c>
      <c r="D30" s="1">
        <f>Table2931[[#This Row],[Abuse Cases]]/C99</f>
        <v>2.74289893941241E-3</v>
      </c>
      <c r="E30" s="29"/>
      <c r="F30"/>
      <c r="G30" s="16" t="s">
        <v>193</v>
      </c>
      <c r="H30" s="17">
        <v>7300</v>
      </c>
      <c r="I30" s="80">
        <f>Table31[[#This Row],[TRUMP VOTES]]/C99</f>
        <v>0.44495916128245766</v>
      </c>
      <c r="J30" s="18">
        <v>0.83399999999999996</v>
      </c>
      <c r="K30" s="17">
        <v>1395</v>
      </c>
      <c r="L30" s="80">
        <f>Table31[[#This Row],[BIDEN VOTES]]/C99</f>
        <v>8.5029867121784716E-2</v>
      </c>
      <c r="M30" s="18">
        <v>0.159</v>
      </c>
      <c r="N30" s="82">
        <f>1-(Table31[[#This Row],[NbP]]+Table31[[#This Row],[Column1]])</f>
        <v>0.47001097159575767</v>
      </c>
      <c r="P30"/>
    </row>
    <row r="31" spans="1:16" ht="20">
      <c r="A31" s="78" t="s">
        <v>96</v>
      </c>
      <c r="B31" s="78" t="s">
        <v>297</v>
      </c>
      <c r="C31" s="78">
        <v>59</v>
      </c>
      <c r="D31" s="1">
        <f>Table2931[[#This Row],[Abuse Cases]]/C100</f>
        <v>1.8678570297907366E-3</v>
      </c>
      <c r="E31" s="29"/>
      <c r="F31"/>
      <c r="G31" s="16" t="s">
        <v>195</v>
      </c>
      <c r="H31" s="17">
        <v>10376</v>
      </c>
      <c r="I31" s="80">
        <f>Table31[[#This Row],[TRUMP VOTES]]/C100</f>
        <v>0.32848956849336752</v>
      </c>
      <c r="J31" s="18">
        <v>0.82599999999999996</v>
      </c>
      <c r="K31" s="17">
        <v>2086</v>
      </c>
      <c r="L31" s="80">
        <f>Table31[[#This Row],[BIDEN VOTES]]/C100</f>
        <v>6.6039826510906383E-2</v>
      </c>
      <c r="M31" s="18">
        <v>0.16600000000000001</v>
      </c>
      <c r="N31" s="82">
        <f>1-(Table31[[#This Row],[NbP]]+Table31[[#This Row],[Column1]])</f>
        <v>0.60547060499572614</v>
      </c>
      <c r="P31"/>
    </row>
    <row r="32" spans="1:16" ht="20">
      <c r="A32" s="78" t="s">
        <v>908</v>
      </c>
      <c r="B32" s="78" t="s">
        <v>297</v>
      </c>
      <c r="C32" s="78">
        <v>44</v>
      </c>
      <c r="D32" s="1">
        <f>Table2931[[#This Row],[Abuse Cases]]/C101</f>
        <v>1.6677405905317819E-3</v>
      </c>
      <c r="E32" s="29"/>
      <c r="F32"/>
      <c r="G32" s="16" t="s">
        <v>940</v>
      </c>
      <c r="H32" s="17">
        <v>10848</v>
      </c>
      <c r="I32" s="80">
        <f>Table31[[#This Row],[TRUMP VOTES]]/C101</f>
        <v>0.41117386195656291</v>
      </c>
      <c r="J32" s="18">
        <v>0.86599999999999999</v>
      </c>
      <c r="K32" s="17">
        <v>1595</v>
      </c>
      <c r="L32" s="80">
        <f>Table31[[#This Row],[BIDEN VOTES]]/C101</f>
        <v>6.0455596406777092E-2</v>
      </c>
      <c r="M32" s="18">
        <v>0.127</v>
      </c>
      <c r="N32" s="82">
        <f>1-(Table31[[#This Row],[NbP]]+Table31[[#This Row],[Column1]])</f>
        <v>0.52837054163665997</v>
      </c>
      <c r="P32"/>
    </row>
    <row r="33" spans="1:16" ht="20">
      <c r="A33" s="78" t="s">
        <v>100</v>
      </c>
      <c r="B33" s="78" t="s">
        <v>297</v>
      </c>
      <c r="C33" s="78">
        <v>11</v>
      </c>
      <c r="D33" s="1">
        <f>Table2931[[#This Row],[Abuse Cases]]/C102</f>
        <v>1.3380367351903662E-3</v>
      </c>
      <c r="E33" s="29"/>
      <c r="F33"/>
      <c r="G33" s="16" t="s">
        <v>199</v>
      </c>
      <c r="H33" s="19">
        <v>875</v>
      </c>
      <c r="I33" s="80">
        <f>Table31[[#This Row],[TRUMP VOTES]]/C102</f>
        <v>0.10643474029923367</v>
      </c>
      <c r="J33" s="18">
        <v>0.184</v>
      </c>
      <c r="K33" s="17">
        <v>3884</v>
      </c>
      <c r="L33" s="80">
        <f>Table31[[#This Row],[BIDEN VOTES]]/C102</f>
        <v>0.47244860722539839</v>
      </c>
      <c r="M33" s="18">
        <v>0.81499999999999995</v>
      </c>
      <c r="N33" s="82">
        <f>1-(Table31[[#This Row],[NbP]]+Table31[[#This Row],[Column1]])</f>
        <v>0.421116652475368</v>
      </c>
      <c r="P33"/>
    </row>
    <row r="34" spans="1:16" ht="20">
      <c r="A34" s="78" t="s">
        <v>647</v>
      </c>
      <c r="B34" s="78" t="s">
        <v>297</v>
      </c>
      <c r="C34" s="78">
        <v>28</v>
      </c>
      <c r="D34" s="1">
        <f>Table2931[[#This Row],[Abuse Cases]]/C103</f>
        <v>1.8977904297139759E-3</v>
      </c>
      <c r="E34" s="29"/>
      <c r="F34"/>
      <c r="G34" s="16" t="s">
        <v>420</v>
      </c>
      <c r="H34" s="17">
        <v>3192</v>
      </c>
      <c r="I34" s="80">
        <f>Table31[[#This Row],[TRUMP VOTES]]/C103</f>
        <v>0.21634810898739326</v>
      </c>
      <c r="J34" s="18">
        <v>0.40400000000000003</v>
      </c>
      <c r="K34" s="17">
        <v>4663</v>
      </c>
      <c r="L34" s="80">
        <f>Table31[[#This Row],[BIDEN VOTES]]/C103</f>
        <v>0.31604988477700963</v>
      </c>
      <c r="M34" s="18">
        <v>0.59099999999999997</v>
      </c>
      <c r="N34" s="82">
        <f>1-(Table31[[#This Row],[NbP]]+Table31[[#This Row],[Column1]])</f>
        <v>0.46760200623559711</v>
      </c>
      <c r="P34"/>
    </row>
    <row r="35" spans="1:16" ht="20">
      <c r="A35" s="78" t="s">
        <v>110</v>
      </c>
      <c r="B35" s="78" t="s">
        <v>297</v>
      </c>
      <c r="C35" s="78">
        <v>16</v>
      </c>
      <c r="D35" s="1">
        <f>Table2931[[#This Row],[Abuse Cases]]/C104</f>
        <v>9.3441569818372944E-4</v>
      </c>
      <c r="E35" s="29"/>
      <c r="F35"/>
      <c r="G35" s="16" t="s">
        <v>209</v>
      </c>
      <c r="H35" s="17">
        <v>6607</v>
      </c>
      <c r="I35" s="80">
        <f>Table31[[#This Row],[TRUMP VOTES]]/C104</f>
        <v>0.38585528236874378</v>
      </c>
      <c r="J35" s="18">
        <v>0.71199999999999997</v>
      </c>
      <c r="K35" s="17">
        <v>2606</v>
      </c>
      <c r="L35" s="80">
        <f>Table31[[#This Row],[BIDEN VOTES]]/C104</f>
        <v>0.15219295684167494</v>
      </c>
      <c r="M35" s="18">
        <v>0.28100000000000003</v>
      </c>
      <c r="N35" s="82">
        <f>1-(Table31[[#This Row],[NbP]]+Table31[[#This Row],[Column1]])</f>
        <v>0.46195176078958133</v>
      </c>
      <c r="P35"/>
    </row>
    <row r="36" spans="1:16" ht="20">
      <c r="A36" s="78" t="s">
        <v>112</v>
      </c>
      <c r="B36" s="78" t="s">
        <v>297</v>
      </c>
      <c r="C36" s="78">
        <v>138</v>
      </c>
      <c r="D36" s="1">
        <f>Table2931[[#This Row],[Abuse Cases]]/C105</f>
        <v>1.3103048832594309E-3</v>
      </c>
      <c r="E36" s="29"/>
      <c r="F36"/>
      <c r="G36" s="16" t="s">
        <v>211</v>
      </c>
      <c r="H36" s="17">
        <v>32618</v>
      </c>
      <c r="I36" s="80">
        <f>Table31[[#This Row],[TRUMP VOTES]]/C105</f>
        <v>0.30970670059533417</v>
      </c>
      <c r="J36" s="18">
        <v>0.70799999999999996</v>
      </c>
      <c r="K36" s="17">
        <v>12917</v>
      </c>
      <c r="L36" s="80">
        <f>Table31[[#This Row],[BIDEN VOTES]]/C105</f>
        <v>0.12264643606566716</v>
      </c>
      <c r="M36" s="18">
        <v>0.28000000000000003</v>
      </c>
      <c r="N36" s="82">
        <f>1-(Table31[[#This Row],[NbP]]+Table31[[#This Row],[Column1]])</f>
        <v>0.56764686333899861</v>
      </c>
      <c r="P36"/>
    </row>
    <row r="37" spans="1:16" ht="20">
      <c r="A37" s="78" t="s">
        <v>114</v>
      </c>
      <c r="B37" s="78" t="s">
        <v>297</v>
      </c>
      <c r="C37" s="78">
        <v>128</v>
      </c>
      <c r="D37" s="1">
        <f>Table2931[[#This Row],[Abuse Cases]]/C106</f>
        <v>2.4727132232203225E-3</v>
      </c>
      <c r="E37" s="29"/>
      <c r="F37"/>
      <c r="G37" s="16" t="s">
        <v>213</v>
      </c>
      <c r="H37" s="17">
        <v>19670</v>
      </c>
      <c r="I37" s="80">
        <f>Table31[[#This Row],[TRUMP VOTES]]/C106</f>
        <v>0.37998647734956054</v>
      </c>
      <c r="J37" s="18">
        <v>0.83399999999999996</v>
      </c>
      <c r="K37" s="17">
        <v>3717</v>
      </c>
      <c r="L37" s="80">
        <f>Table31[[#This Row],[BIDEN VOTES]]/C106</f>
        <v>7.1805273833671399E-2</v>
      </c>
      <c r="M37" s="18">
        <v>0.158</v>
      </c>
      <c r="N37" s="82">
        <f>1-(Table31[[#This Row],[NbP]]+Table31[[#This Row],[Column1]])</f>
        <v>0.54820824881676811</v>
      </c>
      <c r="P37"/>
    </row>
    <row r="38" spans="1:16" ht="20">
      <c r="A38" s="78" t="s">
        <v>115</v>
      </c>
      <c r="B38" s="78" t="s">
        <v>297</v>
      </c>
      <c r="C38" s="78">
        <v>558</v>
      </c>
      <c r="D38" s="1">
        <f>Table2931[[#This Row],[Abuse Cases]]/C107</f>
        <v>8.4723244991383433E-4</v>
      </c>
      <c r="E38" s="29"/>
      <c r="F38"/>
      <c r="G38" s="16" t="s">
        <v>214</v>
      </c>
      <c r="H38" s="17">
        <v>138843</v>
      </c>
      <c r="I38" s="80">
        <f>Table31[[#This Row],[TRUMP VOTES]]/C107</f>
        <v>0.21081056459388262</v>
      </c>
      <c r="J38" s="18">
        <v>0.42799999999999999</v>
      </c>
      <c r="K38" s="17">
        <v>181688</v>
      </c>
      <c r="L38" s="80">
        <f>Table31[[#This Row],[BIDEN VOTES]]/C107</f>
        <v>0.27586374437266081</v>
      </c>
      <c r="M38" s="18">
        <v>0.56100000000000005</v>
      </c>
      <c r="N38" s="82">
        <f>1-(Table31[[#This Row],[NbP]]+Table31[[#This Row],[Column1]])</f>
        <v>0.5133256910334566</v>
      </c>
      <c r="P38"/>
    </row>
    <row r="39" spans="1:16" ht="20">
      <c r="A39" s="78" t="s">
        <v>682</v>
      </c>
      <c r="B39" s="78" t="s">
        <v>297</v>
      </c>
      <c r="C39" s="78">
        <v>66</v>
      </c>
      <c r="D39" s="1">
        <f>Table2931[[#This Row],[Abuse Cases]]/C108</f>
        <v>4.7639670853183193E-3</v>
      </c>
      <c r="E39" s="29"/>
      <c r="F39"/>
      <c r="G39" s="16" t="s">
        <v>455</v>
      </c>
      <c r="H39" s="17">
        <v>6174</v>
      </c>
      <c r="I39" s="80">
        <f>Table31[[#This Row],[TRUMP VOTES]]/C108</f>
        <v>0.44564746643568642</v>
      </c>
      <c r="J39" s="18">
        <v>0.85899999999999999</v>
      </c>
      <c r="K39" s="19">
        <v>978</v>
      </c>
      <c r="L39" s="80">
        <f>Table31[[#This Row],[BIDEN VOTES]]/C108</f>
        <v>7.0593330446080557E-2</v>
      </c>
      <c r="M39" s="18">
        <v>0.13600000000000001</v>
      </c>
      <c r="N39" s="82">
        <f>1-(Table31[[#This Row],[NbP]]+Table31[[#This Row],[Column1]])</f>
        <v>0.48375920311823306</v>
      </c>
      <c r="P39"/>
    </row>
    <row r="40" spans="1:16" ht="20">
      <c r="A40" s="78" t="s">
        <v>119</v>
      </c>
      <c r="B40" s="78" t="s">
        <v>297</v>
      </c>
      <c r="C40" s="78">
        <v>295</v>
      </c>
      <c r="D40" s="1">
        <f>Table2931[[#This Row],[Abuse Cases]]/C109</f>
        <v>3.1764832561645309E-3</v>
      </c>
      <c r="E40" s="29"/>
      <c r="F40"/>
      <c r="G40" s="16" t="s">
        <v>218</v>
      </c>
      <c r="H40" s="17">
        <v>31721</v>
      </c>
      <c r="I40" s="80">
        <f>Table31[[#This Row],[TRUMP VOTES]]/C109</f>
        <v>0.34156347582642405</v>
      </c>
      <c r="J40" s="18">
        <v>0.71799999999999997</v>
      </c>
      <c r="K40" s="17">
        <v>11915</v>
      </c>
      <c r="L40" s="80">
        <f>Table31[[#This Row],[BIDEN VOTES]]/C109</f>
        <v>0.12829762032949285</v>
      </c>
      <c r="M40" s="18">
        <v>0.27</v>
      </c>
      <c r="N40" s="82">
        <f>1-(Table31[[#This Row],[NbP]]+Table31[[#This Row],[Column1]])</f>
        <v>0.53013890384408313</v>
      </c>
      <c r="P40"/>
    </row>
    <row r="41" spans="1:16" ht="20">
      <c r="A41" s="78" t="s">
        <v>120</v>
      </c>
      <c r="B41" s="78" t="s">
        <v>297</v>
      </c>
      <c r="C41" s="78">
        <v>37</v>
      </c>
      <c r="D41" s="1">
        <f>Table2931[[#This Row],[Abuse Cases]]/C110</f>
        <v>1.1222663714398375E-3</v>
      </c>
      <c r="E41" s="29"/>
      <c r="F41"/>
      <c r="G41" s="16" t="s">
        <v>219</v>
      </c>
      <c r="H41" s="17">
        <v>12322</v>
      </c>
      <c r="I41" s="80">
        <f>Table31[[#This Row],[TRUMP VOTES]]/C110</f>
        <v>0.37374503321301827</v>
      </c>
      <c r="J41" s="18">
        <v>0.77</v>
      </c>
      <c r="K41" s="17">
        <v>3562</v>
      </c>
      <c r="L41" s="80">
        <f>Table31[[#This Row],[BIDEN VOTES]]/C110</f>
        <v>0.10804088689374867</v>
      </c>
      <c r="M41" s="18">
        <v>0.222</v>
      </c>
      <c r="N41" s="82">
        <f>1-(Table31[[#This Row],[NbP]]+Table31[[#This Row],[Column1]])</f>
        <v>0.51821407989323309</v>
      </c>
      <c r="P41"/>
    </row>
    <row r="42" spans="1:16" ht="20">
      <c r="A42" s="78" t="s">
        <v>687</v>
      </c>
      <c r="B42" s="78" t="s">
        <v>297</v>
      </c>
      <c r="C42" s="78">
        <v>234</v>
      </c>
      <c r="D42" s="1">
        <f>Table2931[[#This Row],[Abuse Cases]]/C111</f>
        <v>1.4315341274065373E-3</v>
      </c>
      <c r="E42" s="29"/>
      <c r="F42"/>
      <c r="G42" s="16" t="s">
        <v>459</v>
      </c>
      <c r="H42" s="17">
        <v>42221</v>
      </c>
      <c r="I42" s="80">
        <f>Table31[[#This Row],[TRUMP VOTES]]/C111</f>
        <v>0.25829402732150175</v>
      </c>
      <c r="J42" s="18">
        <v>0.59399999999999997</v>
      </c>
      <c r="K42" s="17">
        <v>27860</v>
      </c>
      <c r="L42" s="80">
        <f>Table31[[#This Row],[BIDEN VOTES]]/C111</f>
        <v>0.17043820850233388</v>
      </c>
      <c r="M42" s="18">
        <v>0.39200000000000002</v>
      </c>
      <c r="N42" s="82">
        <f>1-(Table31[[#This Row],[NbP]]+Table31[[#This Row],[Column1]])</f>
        <v>0.57126776417616432</v>
      </c>
      <c r="P42"/>
    </row>
    <row r="43" spans="1:16" ht="20">
      <c r="A43" s="78" t="s">
        <v>690</v>
      </c>
      <c r="B43" s="78" t="s">
        <v>297</v>
      </c>
      <c r="C43" s="78">
        <v>95</v>
      </c>
      <c r="D43" s="1">
        <f>Table2931[[#This Row],[Abuse Cases]]/C112</f>
        <v>9.8017973401017325E-4</v>
      </c>
      <c r="E43" s="29"/>
      <c r="F43"/>
      <c r="G43" s="16" t="s">
        <v>462</v>
      </c>
      <c r="H43" s="17">
        <v>34640</v>
      </c>
      <c r="I43" s="80">
        <f>Table31[[#This Row],[TRUMP VOTES]]/C112</f>
        <v>0.35740448406434105</v>
      </c>
      <c r="J43" s="18">
        <v>0.70599999999999996</v>
      </c>
      <c r="K43" s="17">
        <v>13672</v>
      </c>
      <c r="L43" s="80">
        <f>Table31[[#This Row],[BIDEN VOTES]]/C112</f>
        <v>0.14106334024617989</v>
      </c>
      <c r="M43" s="18">
        <v>0.27900000000000003</v>
      </c>
      <c r="N43" s="82">
        <f>1-(Table31[[#This Row],[NbP]]+Table31[[#This Row],[Column1]])</f>
        <v>0.50153217568947905</v>
      </c>
      <c r="P43"/>
    </row>
    <row r="44" spans="1:16" ht="20">
      <c r="A44" s="78" t="s">
        <v>909</v>
      </c>
      <c r="B44" s="78" t="s">
        <v>297</v>
      </c>
      <c r="C44" s="78">
        <v>13</v>
      </c>
      <c r="D44" s="1">
        <f>Table2931[[#This Row],[Abuse Cases]]/C113</f>
        <v>1.3083735909822866E-3</v>
      </c>
      <c r="E44" s="29"/>
      <c r="F44"/>
      <c r="G44" s="16" t="s">
        <v>941</v>
      </c>
      <c r="H44" s="17">
        <v>1836</v>
      </c>
      <c r="I44" s="80">
        <f>Table31[[#This Row],[TRUMP VOTES]]/C113</f>
        <v>0.18478260869565216</v>
      </c>
      <c r="J44" s="18">
        <v>0.26900000000000002</v>
      </c>
      <c r="K44" s="17">
        <v>4972</v>
      </c>
      <c r="L44" s="80">
        <f>Table31[[#This Row],[BIDEN VOTES]]/C113</f>
        <v>0.50040257648953301</v>
      </c>
      <c r="M44" s="18">
        <v>0.72799999999999998</v>
      </c>
      <c r="N44" s="82">
        <f>1-(Table31[[#This Row],[NbP]]+Table31[[#This Row],[Column1]])</f>
        <v>0.31481481481481488</v>
      </c>
      <c r="P44"/>
    </row>
    <row r="45" spans="1:16" ht="20">
      <c r="A45" s="78" t="s">
        <v>124</v>
      </c>
      <c r="B45" s="78" t="s">
        <v>297</v>
      </c>
      <c r="C45" s="78">
        <v>33</v>
      </c>
      <c r="D45" s="1">
        <f>Table2931[[#This Row],[Abuse Cases]]/C114</f>
        <v>1.7898790475673917E-3</v>
      </c>
      <c r="E45" s="29"/>
      <c r="F45"/>
      <c r="G45" s="16" t="s">
        <v>225</v>
      </c>
      <c r="H45" s="17">
        <v>1541</v>
      </c>
      <c r="I45" s="80">
        <f>Table31[[#This Row],[TRUMP VOTES]]/C114</f>
        <v>8.3581927645495477E-2</v>
      </c>
      <c r="J45" s="18">
        <v>0.17699999999999999</v>
      </c>
      <c r="K45" s="17">
        <v>7108</v>
      </c>
      <c r="L45" s="80">
        <f>Table31[[#This Row],[BIDEN VOTES]]/C114</f>
        <v>0.38552909909421273</v>
      </c>
      <c r="M45" s="18">
        <v>0.81699999999999995</v>
      </c>
      <c r="N45" s="82">
        <f>1-(Table31[[#This Row],[NbP]]+Table31[[#This Row],[Column1]])</f>
        <v>0.53088897326029172</v>
      </c>
      <c r="P45"/>
    </row>
    <row r="46" spans="1:16" ht="20">
      <c r="A46" s="78" t="s">
        <v>125</v>
      </c>
      <c r="B46" s="78" t="s">
        <v>297</v>
      </c>
      <c r="C46" s="78">
        <v>159</v>
      </c>
      <c r="D46" s="1">
        <f>Table2931[[#This Row],[Abuse Cases]]/C115</f>
        <v>4.3243419656989934E-4</v>
      </c>
      <c r="E46" s="29"/>
      <c r="F46"/>
      <c r="G46" s="16" t="s">
        <v>226</v>
      </c>
      <c r="H46" s="17">
        <v>102780</v>
      </c>
      <c r="I46" s="80">
        <f>Table31[[#This Row],[TRUMP VOTES]]/C115</f>
        <v>0.27953199197141038</v>
      </c>
      <c r="J46" s="18">
        <v>0.53</v>
      </c>
      <c r="K46" s="17">
        <v>87286</v>
      </c>
      <c r="L46" s="80">
        <f>Table31[[#This Row],[BIDEN VOTES]]/C115</f>
        <v>0.23739277535723416</v>
      </c>
      <c r="M46" s="18">
        <v>0.45</v>
      </c>
      <c r="N46" s="82">
        <f>1-(Table31[[#This Row],[NbP]]+Table31[[#This Row],[Column1]])</f>
        <v>0.48307523267135544</v>
      </c>
      <c r="P46"/>
    </row>
    <row r="47" spans="1:16" ht="20">
      <c r="A47" s="78" t="s">
        <v>910</v>
      </c>
      <c r="B47" s="78" t="s">
        <v>297</v>
      </c>
      <c r="C47" s="78">
        <v>59</v>
      </c>
      <c r="D47" s="1">
        <f>Table2931[[#This Row],[Abuse Cases]]/C116</f>
        <v>3.0828717734350509E-3</v>
      </c>
      <c r="E47" s="29"/>
      <c r="F47"/>
      <c r="G47" s="16" t="s">
        <v>942</v>
      </c>
      <c r="H47" s="17">
        <v>5343</v>
      </c>
      <c r="I47" s="80">
        <f>Table31[[#This Row],[TRUMP VOTES]]/C116</f>
        <v>0.27918277771971994</v>
      </c>
      <c r="J47" s="18">
        <v>0.49099999999999999</v>
      </c>
      <c r="K47" s="17">
        <v>5488</v>
      </c>
      <c r="L47" s="80">
        <f>Table31[[#This Row],[BIDEN VOTES]]/C116</f>
        <v>0.28675932699341622</v>
      </c>
      <c r="M47" s="18">
        <v>0.504</v>
      </c>
      <c r="N47" s="82">
        <f>1-(Table31[[#This Row],[NbP]]+Table31[[#This Row],[Column1]])</f>
        <v>0.43405789528686389</v>
      </c>
      <c r="P47"/>
    </row>
    <row r="48" spans="1:16" ht="20">
      <c r="A48" s="78" t="s">
        <v>126</v>
      </c>
      <c r="B48" s="78" t="s">
        <v>297</v>
      </c>
      <c r="C48" s="78">
        <v>61</v>
      </c>
      <c r="D48" s="1">
        <f>Table2931[[#This Row],[Abuse Cases]]/C117</f>
        <v>2.0457441813669596E-3</v>
      </c>
      <c r="E48" s="29"/>
      <c r="F48"/>
      <c r="G48" s="16" t="s">
        <v>227</v>
      </c>
      <c r="H48" s="17">
        <v>12205</v>
      </c>
      <c r="I48" s="80">
        <f>Table31[[#This Row],[TRUMP VOTES]]/C117</f>
        <v>0.40931652022268428</v>
      </c>
      <c r="J48" s="18">
        <v>0.88600000000000001</v>
      </c>
      <c r="K48" s="17">
        <v>1463</v>
      </c>
      <c r="L48" s="80">
        <f>Table31[[#This Row],[BIDEN VOTES]]/C117</f>
        <v>4.9064323562948556E-2</v>
      </c>
      <c r="M48" s="18">
        <v>0.106</v>
      </c>
      <c r="N48" s="82">
        <f>1-(Table31[[#This Row],[NbP]]+Table31[[#This Row],[Column1]])</f>
        <v>0.54161915621436718</v>
      </c>
      <c r="P48"/>
    </row>
    <row r="49" spans="1:16" ht="20">
      <c r="A49" s="78" t="s">
        <v>127</v>
      </c>
      <c r="B49" s="78" t="s">
        <v>297</v>
      </c>
      <c r="C49" s="78">
        <v>358</v>
      </c>
      <c r="D49" s="1">
        <f>Table2931[[#This Row],[Abuse Cases]]/C118</f>
        <v>3.7238524189437991E-3</v>
      </c>
      <c r="E49" s="29"/>
      <c r="F49"/>
      <c r="G49" s="16" t="s">
        <v>228</v>
      </c>
      <c r="H49" s="17">
        <v>33191</v>
      </c>
      <c r="I49" s="80">
        <f>Table31[[#This Row],[TRUMP VOTES]]/C118</f>
        <v>0.34524688725464703</v>
      </c>
      <c r="J49" s="18">
        <v>0.83899999999999997</v>
      </c>
      <c r="K49" s="17">
        <v>5943</v>
      </c>
      <c r="L49" s="80">
        <f>Table31[[#This Row],[BIDEN VOTES]]/C118</f>
        <v>6.1818030518946916E-2</v>
      </c>
      <c r="M49" s="18">
        <v>0.15</v>
      </c>
      <c r="N49" s="82">
        <f>1-(Table31[[#This Row],[NbP]]+Table31[[#This Row],[Column1]])</f>
        <v>0.59293508222640612</v>
      </c>
      <c r="P49"/>
    </row>
    <row r="50" spans="1:16" ht="20">
      <c r="A50" s="78" t="s">
        <v>911</v>
      </c>
      <c r="B50" s="78" t="s">
        <v>297</v>
      </c>
      <c r="C50" s="78">
        <v>985</v>
      </c>
      <c r="D50" s="1">
        <f>Table2931[[#This Row],[Abuse Cases]]/C119</f>
        <v>2.3793592397645278E-3</v>
      </c>
      <c r="E50" s="29"/>
      <c r="F50"/>
      <c r="G50" s="16" t="s">
        <v>943</v>
      </c>
      <c r="H50" s="17">
        <v>101243</v>
      </c>
      <c r="I50" s="80">
        <f>Table31[[#This Row],[TRUMP VOTES]]/C119</f>
        <v>0.24456189595074124</v>
      </c>
      <c r="J50" s="18">
        <v>0.55400000000000005</v>
      </c>
      <c r="K50" s="17">
        <v>79474</v>
      </c>
      <c r="L50" s="80">
        <f>Table31[[#This Row],[BIDEN VOTES]]/C119</f>
        <v>0.19197684895537676</v>
      </c>
      <c r="M50" s="18">
        <v>0.435</v>
      </c>
      <c r="N50" s="82">
        <f>1-(Table31[[#This Row],[NbP]]+Table31[[#This Row],[Column1]])</f>
        <v>0.56346125509388201</v>
      </c>
      <c r="P50"/>
    </row>
    <row r="51" spans="1:16" ht="20">
      <c r="A51" s="78" t="s">
        <v>132</v>
      </c>
      <c r="B51" s="78" t="s">
        <v>297</v>
      </c>
      <c r="C51" s="78">
        <v>30</v>
      </c>
      <c r="D51" s="1">
        <f>Table2931[[#This Row],[Abuse Cases]]/C120</f>
        <v>1.4281633818908884E-3</v>
      </c>
      <c r="E51" s="29"/>
      <c r="F51"/>
      <c r="G51" s="16" t="s">
        <v>231</v>
      </c>
      <c r="H51" s="17">
        <v>6147</v>
      </c>
      <c r="I51" s="80">
        <f>Table31[[#This Row],[TRUMP VOTES]]/C120</f>
        <v>0.292630676949443</v>
      </c>
      <c r="J51" s="18">
        <v>0.57699999999999996</v>
      </c>
      <c r="K51" s="17">
        <v>4455</v>
      </c>
      <c r="L51" s="80">
        <f>Table31[[#This Row],[BIDEN VOTES]]/C120</f>
        <v>0.2120822622107969</v>
      </c>
      <c r="M51" s="18">
        <v>0.41799999999999998</v>
      </c>
      <c r="N51" s="82">
        <f>1-(Table31[[#This Row],[NbP]]+Table31[[#This Row],[Column1]])</f>
        <v>0.49528706083976015</v>
      </c>
      <c r="P51"/>
    </row>
    <row r="52" spans="1:16" ht="20">
      <c r="A52" s="78" t="s">
        <v>133</v>
      </c>
      <c r="B52" s="78" t="s">
        <v>297</v>
      </c>
      <c r="C52" s="78">
        <v>395</v>
      </c>
      <c r="D52" s="1">
        <f>Table2931[[#This Row],[Abuse Cases]]/C121</f>
        <v>1.7443067153600559E-3</v>
      </c>
      <c r="E52" s="29"/>
      <c r="F52"/>
      <c r="G52" s="16" t="s">
        <v>232</v>
      </c>
      <c r="H52" s="17">
        <v>33311</v>
      </c>
      <c r="I52" s="80">
        <f>Table31[[#This Row],[TRUMP VOTES]]/C121</f>
        <v>0.1471002556844527</v>
      </c>
      <c r="J52" s="18">
        <v>0.33700000000000002</v>
      </c>
      <c r="K52" s="17">
        <v>64529</v>
      </c>
      <c r="L52" s="80">
        <f>Table31[[#This Row],[BIDEN VOTES]]/C121</f>
        <v>0.28495789376068109</v>
      </c>
      <c r="M52" s="18">
        <v>0.65300000000000002</v>
      </c>
      <c r="N52" s="82">
        <f>1-(Table31[[#This Row],[NbP]]+Table31[[#This Row],[Column1]])</f>
        <v>0.56794185055486623</v>
      </c>
      <c r="P52"/>
    </row>
    <row r="53" spans="1:16" ht="20">
      <c r="A53" s="78" t="s">
        <v>135</v>
      </c>
      <c r="B53" s="78" t="s">
        <v>297</v>
      </c>
      <c r="C53" s="78">
        <v>252</v>
      </c>
      <c r="D53" s="1">
        <f>Table2931[[#This Row],[Abuse Cases]]/C122</f>
        <v>2.1114015684697367E-3</v>
      </c>
      <c r="E53" s="29"/>
      <c r="F53"/>
      <c r="G53" s="16" t="s">
        <v>234</v>
      </c>
      <c r="H53" s="17">
        <v>39664</v>
      </c>
      <c r="I53" s="80">
        <f>Table31[[#This Row],[TRUMP VOTES]]/C122</f>
        <v>0.33232790401501439</v>
      </c>
      <c r="J53" s="18">
        <v>0.74</v>
      </c>
      <c r="K53" s="17">
        <v>13234</v>
      </c>
      <c r="L53" s="80">
        <f>Table31[[#This Row],[BIDEN VOTES]]/C122</f>
        <v>0.11088209665527179</v>
      </c>
      <c r="M53" s="18">
        <v>0.247</v>
      </c>
      <c r="N53" s="82">
        <f>1-(Table31[[#This Row],[NbP]]+Table31[[#This Row],[Column1]])</f>
        <v>0.55678999932971385</v>
      </c>
      <c r="P53"/>
    </row>
    <row r="54" spans="1:16" ht="20">
      <c r="A54" s="78" t="s">
        <v>138</v>
      </c>
      <c r="B54" s="78" t="s">
        <v>297</v>
      </c>
      <c r="C54" s="78">
        <v>8</v>
      </c>
      <c r="D54" s="1">
        <f>Table2931[[#This Row],[Abuse Cases]]/C123</f>
        <v>8.7873462214411243E-4</v>
      </c>
      <c r="E54" s="29"/>
      <c r="F54"/>
      <c r="G54" s="16" t="s">
        <v>237</v>
      </c>
      <c r="H54" s="17">
        <v>1339</v>
      </c>
      <c r="I54" s="80">
        <f>Table31[[#This Row],[TRUMP VOTES]]/C123</f>
        <v>0.14707820738137081</v>
      </c>
      <c r="J54" s="18">
        <v>0.25600000000000001</v>
      </c>
      <c r="K54" s="17">
        <v>3860</v>
      </c>
      <c r="L54" s="80">
        <f>Table31[[#This Row],[BIDEN VOTES]]/C123</f>
        <v>0.42398945518453429</v>
      </c>
      <c r="M54" s="18">
        <v>0.73899999999999999</v>
      </c>
      <c r="N54" s="82">
        <f>1-(Table31[[#This Row],[NbP]]+Table31[[#This Row],[Column1]])</f>
        <v>0.42893233743409487</v>
      </c>
      <c r="P54"/>
    </row>
    <row r="55" spans="1:16" ht="20">
      <c r="A55" s="78" t="s">
        <v>912</v>
      </c>
      <c r="B55" s="78" t="s">
        <v>297</v>
      </c>
      <c r="C55" s="78">
        <v>28</v>
      </c>
      <c r="D55" s="1">
        <f>Table2931[[#This Row],[Abuse Cases]]/C124</f>
        <v>1.3965783829617438E-3</v>
      </c>
      <c r="E55" s="29"/>
      <c r="F55"/>
      <c r="G55" s="16" t="s">
        <v>944</v>
      </c>
      <c r="H55" s="17">
        <v>5594</v>
      </c>
      <c r="I55" s="80">
        <f>Table31[[#This Row],[TRUMP VOTES]]/C124</f>
        <v>0.27901640979599979</v>
      </c>
      <c r="J55" s="18">
        <v>0.57899999999999996</v>
      </c>
      <c r="K55" s="17">
        <v>4022</v>
      </c>
      <c r="L55" s="80">
        <f>Table31[[#This Row],[BIDEN VOTES]]/C124</f>
        <v>0.20060850915257619</v>
      </c>
      <c r="M55" s="18">
        <v>0.41699999999999998</v>
      </c>
      <c r="N55" s="82">
        <f>1-(Table31[[#This Row],[NbP]]+Table31[[#This Row],[Column1]])</f>
        <v>0.52037508105142405</v>
      </c>
      <c r="P55"/>
    </row>
    <row r="56" spans="1:16" ht="20">
      <c r="A56" s="78" t="s">
        <v>913</v>
      </c>
      <c r="B56" s="78" t="s">
        <v>297</v>
      </c>
      <c r="C56" s="78">
        <v>79</v>
      </c>
      <c r="D56" s="1">
        <f>Table2931[[#This Row],[Abuse Cases]]/C125</f>
        <v>2.3742261224980465E-3</v>
      </c>
      <c r="E56" s="29"/>
      <c r="F56"/>
      <c r="G56" s="16" t="s">
        <v>945</v>
      </c>
      <c r="H56" s="17">
        <v>8042</v>
      </c>
      <c r="I56" s="80">
        <f>Table31[[#This Row],[TRUMP VOTES]]/C125</f>
        <v>0.24169020857125684</v>
      </c>
      <c r="J56" s="18">
        <v>0.58199999999999996</v>
      </c>
      <c r="K56" s="17">
        <v>5636</v>
      </c>
      <c r="L56" s="80">
        <f>Table31[[#This Row],[BIDEN VOTES]]/C125</f>
        <v>0.16938149906834166</v>
      </c>
      <c r="M56" s="18">
        <v>0.40799999999999997</v>
      </c>
      <c r="N56" s="82">
        <f>1-(Table31[[#This Row],[NbP]]+Table31[[#This Row],[Column1]])</f>
        <v>0.58892829236040156</v>
      </c>
      <c r="P56"/>
    </row>
    <row r="57" spans="1:16" ht="20">
      <c r="A57" s="78" t="s">
        <v>880</v>
      </c>
      <c r="B57" s="78" t="s">
        <v>297</v>
      </c>
      <c r="C57" s="78">
        <v>59</v>
      </c>
      <c r="D57" s="1">
        <f>Table2931[[#This Row],[Abuse Cases]]/C126</f>
        <v>2.5954601442899879E-3</v>
      </c>
      <c r="E57" s="29"/>
      <c r="F57"/>
      <c r="G57" s="16" t="s">
        <v>849</v>
      </c>
      <c r="H57" s="17">
        <v>8559</v>
      </c>
      <c r="I57" s="80">
        <f>Table31[[#This Row],[TRUMP VOTES]]/C126</f>
        <v>0.37651768432166111</v>
      </c>
      <c r="J57" s="18">
        <v>0.79100000000000004</v>
      </c>
      <c r="K57" s="17">
        <v>2203</v>
      </c>
      <c r="L57" s="80">
        <f>Table31[[#This Row],[BIDEN VOTES]]/C126</f>
        <v>9.6911842336793952E-2</v>
      </c>
      <c r="M57" s="18">
        <v>0.20399999999999999</v>
      </c>
      <c r="N57" s="82">
        <f>1-(Table31[[#This Row],[NbP]]+Table31[[#This Row],[Column1]])</f>
        <v>0.52657047334154494</v>
      </c>
      <c r="P57"/>
    </row>
    <row r="58" spans="1:16" ht="20">
      <c r="A58" s="78" t="s">
        <v>914</v>
      </c>
      <c r="B58" s="78" t="s">
        <v>297</v>
      </c>
      <c r="C58" s="78">
        <v>123</v>
      </c>
      <c r="D58" s="1">
        <f>Table2931[[#This Row],[Abuse Cases]]/C127</f>
        <v>2.1229590251648314E-3</v>
      </c>
      <c r="E58" s="29"/>
      <c r="F58"/>
      <c r="G58" s="16" t="s">
        <v>946</v>
      </c>
      <c r="H58" s="17">
        <v>9864</v>
      </c>
      <c r="I58" s="80">
        <f>Table31[[#This Row],[TRUMP VOTES]]/C127</f>
        <v>0.17025095792053574</v>
      </c>
      <c r="J58" s="18">
        <v>0.46300000000000002</v>
      </c>
      <c r="K58" s="17">
        <v>11228</v>
      </c>
      <c r="L58" s="80">
        <f>Table31[[#This Row],[BIDEN VOTES]]/C127</f>
        <v>0.19379336532155061</v>
      </c>
      <c r="M58" s="18">
        <v>0.52700000000000002</v>
      </c>
      <c r="N58" s="82">
        <f>1-(Table31[[#This Row],[NbP]]+Table31[[#This Row],[Column1]])</f>
        <v>0.63595567675791365</v>
      </c>
      <c r="P58"/>
    </row>
    <row r="59" spans="1:16" ht="20">
      <c r="A59" s="78" t="s">
        <v>149</v>
      </c>
      <c r="B59" s="78" t="s">
        <v>297</v>
      </c>
      <c r="C59" s="78">
        <v>278</v>
      </c>
      <c r="D59" s="1">
        <f>Table2931[[#This Row],[Abuse Cases]]/C128</f>
        <v>1.2849549341345042E-3</v>
      </c>
      <c r="E59" s="29"/>
      <c r="F59"/>
      <c r="G59" s="16" t="s">
        <v>947</v>
      </c>
      <c r="H59" s="17">
        <v>36166</v>
      </c>
      <c r="I59" s="80">
        <f>Table31[[#This Row],[TRUMP VOTES]]/C128</f>
        <v>0.1671643170788075</v>
      </c>
      <c r="J59" s="18">
        <v>0.81499999999999995</v>
      </c>
      <c r="K59" s="17">
        <v>7744</v>
      </c>
      <c r="L59" s="80">
        <f>Table31[[#This Row],[BIDEN VOTES]]/C128</f>
        <v>3.579385255373238E-2</v>
      </c>
      <c r="M59" s="18">
        <v>0.17499999999999999</v>
      </c>
      <c r="N59" s="82">
        <f>1-(Table31[[#This Row],[NbP]]+Table31[[#This Row],[Column1]])</f>
        <v>0.79704183036746012</v>
      </c>
      <c r="P59"/>
    </row>
    <row r="60" spans="1:16" ht="20">
      <c r="A60" s="78" t="s">
        <v>915</v>
      </c>
      <c r="B60" s="78" t="s">
        <v>297</v>
      </c>
      <c r="C60" s="78">
        <v>137</v>
      </c>
      <c r="D60" s="1">
        <f>Table2931[[#This Row],[Abuse Cases]]/C129</f>
        <v>1.5405548246353834E-3</v>
      </c>
      <c r="E60" s="29"/>
      <c r="F60"/>
      <c r="G60" s="16" t="s">
        <v>264</v>
      </c>
      <c r="H60" s="17">
        <v>79700</v>
      </c>
      <c r="I60" s="80">
        <f>Table31[[#This Row],[TRUMP VOTES]]/C129</f>
        <v>0.89622058046306607</v>
      </c>
      <c r="J60" s="18">
        <v>0.69599999999999995</v>
      </c>
      <c r="K60" s="17">
        <v>33268</v>
      </c>
      <c r="L60" s="80">
        <f>Table31[[#This Row],[BIDEN VOTES]]/C129</f>
        <v>0.37409618909467102</v>
      </c>
      <c r="M60" s="18">
        <v>0.29099999999999998</v>
      </c>
      <c r="N60" s="82">
        <f>1-(Table31[[#This Row],[NbP]]+Table31[[#This Row],[Column1]])</f>
        <v>-0.27031676955773709</v>
      </c>
      <c r="P60"/>
    </row>
    <row r="61" spans="1:16" ht="20">
      <c r="A61" s="78" t="s">
        <v>916</v>
      </c>
      <c r="B61" s="78" t="s">
        <v>297</v>
      </c>
      <c r="C61" s="78">
        <v>14</v>
      </c>
      <c r="D61" s="1">
        <f>Table2931[[#This Row],[Abuse Cases]]/C130</f>
        <v>1.1115522032552601E-3</v>
      </c>
      <c r="E61" s="29"/>
      <c r="F61"/>
      <c r="G61" s="16" t="s">
        <v>948</v>
      </c>
      <c r="H61" s="17">
        <v>1598</v>
      </c>
      <c r="I61" s="80">
        <f>Table31[[#This Row],[TRUMP VOTES]]/C130</f>
        <v>0.12687574434299326</v>
      </c>
      <c r="J61" s="18">
        <v>0.254</v>
      </c>
      <c r="K61" s="17">
        <v>4648</v>
      </c>
      <c r="L61" s="80">
        <f>Table31[[#This Row],[BIDEN VOTES]]/C130</f>
        <v>0.36903533148074635</v>
      </c>
      <c r="M61" s="18">
        <v>0.74</v>
      </c>
      <c r="N61" s="82">
        <f>1-(Table31[[#This Row],[NbP]]+Table31[[#This Row],[Column1]])</f>
        <v>0.50408892417626039</v>
      </c>
      <c r="P61"/>
    </row>
    <row r="62" spans="1:16" ht="20">
      <c r="A62" s="78" t="s">
        <v>917</v>
      </c>
      <c r="B62" s="78" t="s">
        <v>297</v>
      </c>
      <c r="C62" s="78">
        <v>286</v>
      </c>
      <c r="D62" s="1">
        <f>Table2931[[#This Row],[Abuse Cases]]/C131</f>
        <v>3.564129405313793E-3</v>
      </c>
      <c r="E62" s="29"/>
      <c r="F62"/>
      <c r="G62" s="16" t="s">
        <v>949</v>
      </c>
      <c r="H62" s="17">
        <v>22235</v>
      </c>
      <c r="I62" s="80">
        <f>Table31[[#This Row],[TRUMP VOTES]]/C131</f>
        <v>0.27709236827675587</v>
      </c>
      <c r="J62" s="18">
        <v>0.624</v>
      </c>
      <c r="K62" s="17">
        <v>13138</v>
      </c>
      <c r="L62" s="80">
        <f>Table31[[#This Row],[BIDEN VOTES]]/C131</f>
        <v>0.16372563680773641</v>
      </c>
      <c r="M62" s="18">
        <v>0.36899999999999999</v>
      </c>
      <c r="N62" s="82">
        <f>1-(Table31[[#This Row],[NbP]]+Table31[[#This Row],[Column1]])</f>
        <v>0.55918199491550769</v>
      </c>
      <c r="P62"/>
    </row>
    <row r="63" spans="1:16" ht="20">
      <c r="A63" s="78" t="s">
        <v>918</v>
      </c>
      <c r="B63" s="78" t="s">
        <v>297</v>
      </c>
      <c r="C63" s="78">
        <v>87</v>
      </c>
      <c r="D63" s="1">
        <f>Table2931[[#This Row],[Abuse Cases]]/C132</f>
        <v>2.1508034610630408E-3</v>
      </c>
      <c r="E63" s="29"/>
      <c r="F63"/>
      <c r="G63" s="16" t="s">
        <v>950</v>
      </c>
      <c r="H63" s="17">
        <v>14963</v>
      </c>
      <c r="I63" s="80">
        <f>Table31[[#This Row],[TRUMP VOTES]]/C132</f>
        <v>0.36991347342398023</v>
      </c>
      <c r="J63" s="18">
        <v>0.71399999999999997</v>
      </c>
      <c r="K63" s="17">
        <v>5859</v>
      </c>
      <c r="L63" s="80">
        <f>Table31[[#This Row],[BIDEN VOTES]]/C132</f>
        <v>0.14484548825710755</v>
      </c>
      <c r="M63" s="18">
        <v>0.28000000000000003</v>
      </c>
      <c r="N63" s="82">
        <f>1-(Table31[[#This Row],[NbP]]+Table31[[#This Row],[Column1]])</f>
        <v>0.48524103831891219</v>
      </c>
      <c r="P63"/>
    </row>
    <row r="64" spans="1:16" ht="20">
      <c r="A64" s="78" t="s">
        <v>919</v>
      </c>
      <c r="B64" s="78" t="s">
        <v>297</v>
      </c>
      <c r="C64" s="78">
        <v>228</v>
      </c>
      <c r="D64" s="1">
        <f>Table2931[[#This Row],[Abuse Cases]]/C133</f>
        <v>1.0916716941021E-3</v>
      </c>
      <c r="E64" s="29"/>
      <c r="F64"/>
      <c r="G64" s="16" t="s">
        <v>951</v>
      </c>
      <c r="H64" s="17">
        <v>51117</v>
      </c>
      <c r="I64" s="80">
        <f>Table31[[#This Row],[TRUMP VOTES]]/C133</f>
        <v>0.24474992099744319</v>
      </c>
      <c r="J64" s="18">
        <v>0.56899999999999995</v>
      </c>
      <c r="K64" s="17">
        <v>37765</v>
      </c>
      <c r="L64" s="80">
        <f>Table31[[#This Row],[BIDEN VOTES]]/C133</f>
        <v>0.18082009442002547</v>
      </c>
      <c r="M64" s="18">
        <v>0.42099999999999999</v>
      </c>
      <c r="N64" s="82">
        <f>1-(Table31[[#This Row],[NbP]]+Table31[[#This Row],[Column1]])</f>
        <v>0.57442998458253136</v>
      </c>
      <c r="P64"/>
    </row>
    <row r="65" spans="1:16" ht="20">
      <c r="A65" s="78" t="s">
        <v>770</v>
      </c>
      <c r="B65" s="78" t="s">
        <v>297</v>
      </c>
      <c r="C65" s="78">
        <v>146</v>
      </c>
      <c r="D65" s="1">
        <f>Table2931[[#This Row],[Abuse Cases]]/C134</f>
        <v>2.2883295194508009E-3</v>
      </c>
      <c r="E65" s="29"/>
      <c r="F65"/>
      <c r="G65" s="16" t="s">
        <v>541</v>
      </c>
      <c r="H65" s="17">
        <v>26002</v>
      </c>
      <c r="I65" s="80">
        <f>Table31[[#This Row],[TRUMP VOTES]]/C134</f>
        <v>0.40754208332027209</v>
      </c>
      <c r="J65" s="18">
        <v>0.83599999999999997</v>
      </c>
      <c r="K65" s="17">
        <v>4834</v>
      </c>
      <c r="L65" s="80">
        <f>Table31[[#This Row],[BIDEN VOTES]]/C134</f>
        <v>7.5765649979624469E-2</v>
      </c>
      <c r="M65" s="18">
        <v>0.155</v>
      </c>
      <c r="N65" s="82">
        <f>1-(Table31[[#This Row],[NbP]]+Table31[[#This Row],[Column1]])</f>
        <v>0.51669226670010349</v>
      </c>
      <c r="P65"/>
    </row>
    <row r="66" spans="1:16" ht="20">
      <c r="A66" s="78" t="s">
        <v>38</v>
      </c>
      <c r="B66" s="78" t="s">
        <v>297</v>
      </c>
      <c r="C66" s="78">
        <v>36</v>
      </c>
      <c r="D66" s="1">
        <f>Table2931[[#This Row],[Abuse Cases]]/C135</f>
        <v>2.2037218413320275E-3</v>
      </c>
      <c r="E66" s="29"/>
      <c r="F66"/>
      <c r="G66" s="16" t="s">
        <v>258</v>
      </c>
      <c r="H66" s="17">
        <v>6564</v>
      </c>
      <c r="I66" s="80">
        <f>Table31[[#This Row],[TRUMP VOTES]]/C135</f>
        <v>0.40181194906953965</v>
      </c>
      <c r="J66" s="18">
        <v>0.74</v>
      </c>
      <c r="K66" s="17">
        <v>2258</v>
      </c>
      <c r="L66" s="80">
        <f>Table31[[#This Row],[BIDEN VOTES]]/C135</f>
        <v>0.13822233104799217</v>
      </c>
      <c r="M66" s="18">
        <v>0.255</v>
      </c>
      <c r="N66" s="82">
        <f>1-(Table31[[#This Row],[NbP]]+Table31[[#This Row],[Column1]])</f>
        <v>0.45996571988246815</v>
      </c>
      <c r="P66"/>
    </row>
    <row r="67" spans="1:16" ht="20">
      <c r="A67" s="78" t="s">
        <v>920</v>
      </c>
      <c r="B67" s="78" t="s">
        <v>297</v>
      </c>
      <c r="C67" s="78">
        <v>14</v>
      </c>
      <c r="D67" s="1">
        <f>Table2931[[#This Row],[Abuse Cases]]/C136</f>
        <v>1.3267626990144049E-3</v>
      </c>
      <c r="E67" s="29"/>
      <c r="F67"/>
      <c r="G67" s="16" t="s">
        <v>952</v>
      </c>
      <c r="H67" s="17">
        <v>1833</v>
      </c>
      <c r="I67" s="80">
        <f>Table31[[#This Row],[TRUMP VOTES]]/C136</f>
        <v>0.17371114480667171</v>
      </c>
      <c r="J67" s="18">
        <v>0.311</v>
      </c>
      <c r="K67" s="17">
        <v>4048</v>
      </c>
      <c r="L67" s="80">
        <f>Table31[[#This Row],[BIDEN VOTES]]/C136</f>
        <v>0.38362395754359363</v>
      </c>
      <c r="M67" s="18">
        <v>0.68600000000000005</v>
      </c>
      <c r="N67" s="82">
        <f>1-(Table31[[#This Row],[NbP]]+Table31[[#This Row],[Column1]])</f>
        <v>0.44266489764973471</v>
      </c>
      <c r="P67"/>
    </row>
    <row r="68" spans="1:16" ht="20">
      <c r="A68" s="78" t="s">
        <v>921</v>
      </c>
      <c r="B68" s="78" t="s">
        <v>297</v>
      </c>
      <c r="C68" s="78">
        <v>80</v>
      </c>
      <c r="D68" s="1">
        <f>Table2931[[#This Row],[Abuse Cases]]/C137</f>
        <v>3.3738191632928477E-3</v>
      </c>
      <c r="E68" s="29"/>
      <c r="F68"/>
      <c r="G68" s="16" t="s">
        <v>953</v>
      </c>
      <c r="H68" s="17">
        <v>10195</v>
      </c>
      <c r="I68" s="80">
        <f>Table31[[#This Row],[TRUMP VOTES]]/C137</f>
        <v>0.42995107962213225</v>
      </c>
      <c r="J68" s="18">
        <v>0.90500000000000003</v>
      </c>
      <c r="K68" s="19">
        <v>974</v>
      </c>
      <c r="L68" s="80">
        <f>Table31[[#This Row],[BIDEN VOTES]]/C137</f>
        <v>4.1076248313090417E-2</v>
      </c>
      <c r="M68" s="18">
        <v>8.5999999999999993E-2</v>
      </c>
      <c r="N68" s="82">
        <f>1-(Table31[[#This Row],[NbP]]+Table31[[#This Row],[Column1]])</f>
        <v>0.52897267206477738</v>
      </c>
      <c r="P68"/>
    </row>
    <row r="70" spans="1:16" ht="21">
      <c r="A70" s="77" t="s">
        <v>1670</v>
      </c>
      <c r="B70" s="77" t="s">
        <v>69</v>
      </c>
      <c r="C70" s="77" t="s">
        <v>54</v>
      </c>
      <c r="E70" s="79" t="s">
        <v>69</v>
      </c>
      <c r="F70" s="79" t="s">
        <v>1674</v>
      </c>
      <c r="G70" s="79" t="s">
        <v>1676</v>
      </c>
      <c r="H70" t="s">
        <v>1675</v>
      </c>
      <c r="J70"/>
      <c r="M70"/>
      <c r="P70"/>
    </row>
    <row r="71" spans="1:16" ht="21">
      <c r="A71" s="52">
        <v>24</v>
      </c>
      <c r="B71" s="53" t="s">
        <v>922</v>
      </c>
      <c r="C71" s="54">
        <v>55639</v>
      </c>
      <c r="E71" s="78" t="s">
        <v>889</v>
      </c>
      <c r="F71" s="78" t="s">
        <v>297</v>
      </c>
      <c r="G71" s="78">
        <v>116</v>
      </c>
      <c r="H71">
        <f>G71/Table28[[#This Row],[Population]]</f>
        <v>2.0848685274717374E-3</v>
      </c>
      <c r="J71"/>
      <c r="M71"/>
      <c r="P71"/>
    </row>
    <row r="72" spans="1:16" ht="21">
      <c r="A72" s="52">
        <v>5</v>
      </c>
      <c r="B72" s="53" t="s">
        <v>923</v>
      </c>
      <c r="C72" s="54">
        <v>218289</v>
      </c>
      <c r="E72" s="78" t="s">
        <v>890</v>
      </c>
      <c r="F72" s="78" t="s">
        <v>297</v>
      </c>
      <c r="G72" s="78">
        <v>305</v>
      </c>
      <c r="H72">
        <f>G72/Table28[[#This Row],[Population]]</f>
        <v>1.3972302772929466E-3</v>
      </c>
      <c r="J72"/>
      <c r="M72"/>
      <c r="P72"/>
    </row>
    <row r="73" spans="1:16" ht="21">
      <c r="A73" s="52">
        <v>41</v>
      </c>
      <c r="B73" s="53" t="s">
        <v>825</v>
      </c>
      <c r="C73" s="54">
        <v>25026</v>
      </c>
      <c r="E73" s="78" t="s">
        <v>857</v>
      </c>
      <c r="F73" s="78" t="s">
        <v>297</v>
      </c>
      <c r="G73" s="78">
        <v>67</v>
      </c>
      <c r="H73">
        <f>G73/Table28[[#This Row],[Population]]</f>
        <v>2.6772156956764966E-3</v>
      </c>
      <c r="J73"/>
      <c r="M73"/>
      <c r="P73"/>
    </row>
    <row r="74" spans="1:16" ht="21">
      <c r="A74" s="52">
        <v>45</v>
      </c>
      <c r="B74" s="53" t="s">
        <v>924</v>
      </c>
      <c r="C74" s="54">
        <v>22374</v>
      </c>
      <c r="E74" s="78" t="s">
        <v>891</v>
      </c>
      <c r="F74" s="78" t="s">
        <v>297</v>
      </c>
      <c r="G74" s="78">
        <v>38</v>
      </c>
      <c r="H74">
        <f>G74/Table28[[#This Row],[Population]]</f>
        <v>1.6983999284884241E-3</v>
      </c>
      <c r="J74"/>
      <c r="M74"/>
      <c r="P74"/>
    </row>
    <row r="75" spans="1:16" ht="21">
      <c r="A75" s="52">
        <v>23</v>
      </c>
      <c r="B75" s="53" t="s">
        <v>174</v>
      </c>
      <c r="C75" s="54">
        <v>57755</v>
      </c>
      <c r="E75" s="78" t="s">
        <v>75</v>
      </c>
      <c r="F75" s="78" t="s">
        <v>297</v>
      </c>
      <c r="G75" s="78">
        <v>220</v>
      </c>
      <c r="H75">
        <f>G75/Table28[[#This Row],[Population]]</f>
        <v>3.8091940091766947E-3</v>
      </c>
      <c r="J75"/>
      <c r="M75"/>
      <c r="P75"/>
    </row>
    <row r="76" spans="1:16" ht="21">
      <c r="A76" s="52">
        <v>64</v>
      </c>
      <c r="B76" s="53" t="s">
        <v>925</v>
      </c>
      <c r="C76" s="54">
        <v>10173</v>
      </c>
      <c r="E76" s="78" t="s">
        <v>892</v>
      </c>
      <c r="F76" s="78" t="s">
        <v>297</v>
      </c>
      <c r="G76" s="78">
        <v>30</v>
      </c>
      <c r="H76">
        <f>G76/Table28[[#This Row],[Population]]</f>
        <v>2.9489826010026541E-3</v>
      </c>
      <c r="J76"/>
      <c r="M76"/>
      <c r="P76"/>
    </row>
    <row r="77" spans="1:16" ht="21">
      <c r="A77" s="52">
        <v>48</v>
      </c>
      <c r="B77" s="53" t="s">
        <v>926</v>
      </c>
      <c r="C77" s="54">
        <v>19726</v>
      </c>
      <c r="E77" s="78" t="s">
        <v>893</v>
      </c>
      <c r="F77" s="78" t="s">
        <v>297</v>
      </c>
      <c r="G77" s="78">
        <v>42</v>
      </c>
      <c r="H77">
        <f>G77/Table28[[#This Row],[Population]]</f>
        <v>2.1291696238466998E-3</v>
      </c>
      <c r="J77"/>
      <c r="M77"/>
      <c r="P77"/>
    </row>
    <row r="78" spans="1:16" ht="21">
      <c r="A78" s="52">
        <v>10</v>
      </c>
      <c r="B78" s="53" t="s">
        <v>358</v>
      </c>
      <c r="C78" s="54">
        <v>114324</v>
      </c>
      <c r="E78" s="78" t="s">
        <v>586</v>
      </c>
      <c r="F78" s="78" t="s">
        <v>297</v>
      </c>
      <c r="G78" s="78">
        <v>287</v>
      </c>
      <c r="H78">
        <f>G78/Table28[[#This Row],[Population]]</f>
        <v>2.5104090129806516E-3</v>
      </c>
      <c r="J78"/>
      <c r="M78"/>
      <c r="P78"/>
    </row>
    <row r="79" spans="1:16" ht="21">
      <c r="A79" s="52">
        <v>34</v>
      </c>
      <c r="B79" s="53" t="s">
        <v>365</v>
      </c>
      <c r="C79" s="54">
        <v>33427</v>
      </c>
      <c r="E79" s="78" t="s">
        <v>593</v>
      </c>
      <c r="F79" s="78" t="s">
        <v>297</v>
      </c>
      <c r="G79" s="78">
        <v>43</v>
      </c>
      <c r="H79">
        <f>G79/Table28[[#This Row],[Population]]</f>
        <v>1.2863852574266311E-3</v>
      </c>
      <c r="J79"/>
      <c r="M79"/>
      <c r="P79"/>
    </row>
    <row r="80" spans="1:16" ht="21">
      <c r="A80" s="52">
        <v>40</v>
      </c>
      <c r="B80" s="53" t="s">
        <v>366</v>
      </c>
      <c r="C80" s="54">
        <v>26035</v>
      </c>
      <c r="E80" s="78" t="s">
        <v>594</v>
      </c>
      <c r="F80" s="78" t="s">
        <v>297</v>
      </c>
      <c r="G80" s="78">
        <v>82</v>
      </c>
      <c r="H80">
        <f>G80/Table28[[#This Row],[Population]]</f>
        <v>3.1496062992125984E-3</v>
      </c>
      <c r="J80"/>
      <c r="M80"/>
      <c r="P80"/>
    </row>
    <row r="81" spans="1:16" ht="21">
      <c r="A81" s="52">
        <v>29</v>
      </c>
      <c r="B81" s="53" t="s">
        <v>927</v>
      </c>
      <c r="C81" s="54">
        <v>44147</v>
      </c>
      <c r="E81" s="78" t="s">
        <v>894</v>
      </c>
      <c r="F81" s="78" t="s">
        <v>297</v>
      </c>
      <c r="G81" s="78">
        <v>65</v>
      </c>
      <c r="H81">
        <f>G81/Table28[[#This Row],[Population]]</f>
        <v>1.4723537273200896E-3</v>
      </c>
      <c r="J81"/>
      <c r="M81"/>
      <c r="P81"/>
    </row>
    <row r="82" spans="1:16" ht="21">
      <c r="A82" s="52">
        <v>59</v>
      </c>
      <c r="B82" s="53" t="s">
        <v>928</v>
      </c>
      <c r="C82" s="54">
        <v>12755</v>
      </c>
      <c r="E82" s="78" t="s">
        <v>895</v>
      </c>
      <c r="F82" s="78" t="s">
        <v>297</v>
      </c>
      <c r="G82" s="78">
        <v>22</v>
      </c>
      <c r="H82">
        <f>G82/Table28[[#This Row],[Population]]</f>
        <v>1.7248137985103882E-3</v>
      </c>
      <c r="J82"/>
      <c r="M82"/>
      <c r="P82"/>
    </row>
    <row r="83" spans="1:16" ht="21">
      <c r="A83" s="52">
        <v>42</v>
      </c>
      <c r="B83" s="53" t="s">
        <v>929</v>
      </c>
      <c r="C83" s="54">
        <v>23866</v>
      </c>
      <c r="E83" s="78" t="s">
        <v>896</v>
      </c>
      <c r="F83" s="78" t="s">
        <v>297</v>
      </c>
      <c r="G83" s="78">
        <v>34</v>
      </c>
      <c r="H83">
        <f>G83/Table28[[#This Row],[Population]]</f>
        <v>1.4246207994636723E-3</v>
      </c>
      <c r="J83"/>
      <c r="M83"/>
      <c r="P83"/>
    </row>
    <row r="84" spans="1:16" ht="21">
      <c r="A84" s="52">
        <v>58</v>
      </c>
      <c r="B84" s="53" t="s">
        <v>183</v>
      </c>
      <c r="C84" s="54">
        <v>13285</v>
      </c>
      <c r="E84" s="78" t="s">
        <v>84</v>
      </c>
      <c r="F84" s="78" t="s">
        <v>297</v>
      </c>
      <c r="G84" s="78">
        <v>14</v>
      </c>
      <c r="H84">
        <f>G84/Table28[[#This Row],[Population]]</f>
        <v>1.0538200978547235E-3</v>
      </c>
      <c r="J84"/>
      <c r="M84"/>
      <c r="P84"/>
    </row>
    <row r="85" spans="1:16" ht="21">
      <c r="A85" s="52">
        <v>54</v>
      </c>
      <c r="B85" s="53" t="s">
        <v>930</v>
      </c>
      <c r="C85" s="54">
        <v>14952</v>
      </c>
      <c r="E85" s="78" t="s">
        <v>897</v>
      </c>
      <c r="F85" s="78" t="s">
        <v>297</v>
      </c>
      <c r="G85" s="78">
        <v>59</v>
      </c>
      <c r="H85">
        <f>G85/Table28[[#This Row],[Population]]</f>
        <v>3.9459604066345638E-3</v>
      </c>
      <c r="J85"/>
      <c r="M85"/>
      <c r="P85"/>
    </row>
    <row r="86" spans="1:16" ht="21">
      <c r="A86" s="52">
        <v>26</v>
      </c>
      <c r="B86" s="53" t="s">
        <v>185</v>
      </c>
      <c r="C86" s="54">
        <v>52238</v>
      </c>
      <c r="E86" s="78" t="s">
        <v>86</v>
      </c>
      <c r="F86" s="78" t="s">
        <v>297</v>
      </c>
      <c r="G86" s="78">
        <v>67</v>
      </c>
      <c r="H86">
        <f>G86/Table28[[#This Row],[Population]]</f>
        <v>1.2825912171216356E-3</v>
      </c>
      <c r="J86"/>
      <c r="M86"/>
      <c r="P86"/>
    </row>
    <row r="87" spans="1:16" ht="21">
      <c r="A87" s="52">
        <v>25</v>
      </c>
      <c r="B87" s="53" t="s">
        <v>931</v>
      </c>
      <c r="C87" s="54">
        <v>54957</v>
      </c>
      <c r="E87" s="78" t="s">
        <v>898</v>
      </c>
      <c r="F87" s="78" t="s">
        <v>297</v>
      </c>
      <c r="G87" s="78">
        <v>157</v>
      </c>
      <c r="H87">
        <f>G87/Table28[[#This Row],[Population]]</f>
        <v>2.8567789362592571E-3</v>
      </c>
      <c r="J87"/>
      <c r="M87"/>
      <c r="P87"/>
    </row>
    <row r="88" spans="1:16" ht="21">
      <c r="A88" s="52">
        <v>61</v>
      </c>
      <c r="B88" s="53" t="s">
        <v>932</v>
      </c>
      <c r="C88" s="54">
        <v>12219</v>
      </c>
      <c r="E88" s="78" t="s">
        <v>899</v>
      </c>
      <c r="F88" s="78" t="s">
        <v>297</v>
      </c>
      <c r="G88" s="78">
        <v>38</v>
      </c>
      <c r="H88">
        <f>G88/Table28[[#This Row],[Population]]</f>
        <v>3.1099107946640477E-3</v>
      </c>
      <c r="J88"/>
      <c r="M88"/>
      <c r="P88"/>
    </row>
    <row r="89" spans="1:16" ht="21">
      <c r="A89" s="52">
        <v>62</v>
      </c>
      <c r="B89" s="53" t="s">
        <v>933</v>
      </c>
      <c r="C89" s="54">
        <v>10696</v>
      </c>
      <c r="E89" s="78" t="s">
        <v>900</v>
      </c>
      <c r="F89" s="78" t="s">
        <v>297</v>
      </c>
      <c r="G89" s="78">
        <v>27</v>
      </c>
      <c r="H89">
        <f>G89/Table28[[#This Row],[Population]]</f>
        <v>2.5243081525804039E-3</v>
      </c>
      <c r="J89"/>
      <c r="M89"/>
      <c r="P89"/>
    </row>
    <row r="90" spans="1:16" ht="21">
      <c r="A90" s="52">
        <v>32</v>
      </c>
      <c r="B90" s="53" t="s">
        <v>934</v>
      </c>
      <c r="C90" s="54">
        <v>37096</v>
      </c>
      <c r="E90" s="78" t="s">
        <v>901</v>
      </c>
      <c r="F90" s="78" t="s">
        <v>297</v>
      </c>
      <c r="G90" s="78">
        <v>122</v>
      </c>
      <c r="H90">
        <f>G90/Table28[[#This Row],[Population]]</f>
        <v>3.2887642872546905E-3</v>
      </c>
      <c r="J90"/>
      <c r="M90"/>
      <c r="P90"/>
    </row>
    <row r="91" spans="1:16" ht="21">
      <c r="A91" s="52">
        <v>57</v>
      </c>
      <c r="B91" s="53" t="s">
        <v>935</v>
      </c>
      <c r="C91" s="54">
        <v>13826</v>
      </c>
      <c r="E91" s="78" t="s">
        <v>902</v>
      </c>
      <c r="F91" s="78" t="s">
        <v>297</v>
      </c>
      <c r="G91" s="78">
        <v>23</v>
      </c>
      <c r="H91">
        <f>G91/Table28[[#This Row],[Population]]</f>
        <v>1.6635324750470129E-3</v>
      </c>
      <c r="J91"/>
      <c r="M91"/>
      <c r="P91"/>
    </row>
    <row r="92" spans="1:16" ht="21">
      <c r="A92" s="52">
        <v>17</v>
      </c>
      <c r="B92" s="53" t="s">
        <v>936</v>
      </c>
      <c r="C92" s="54">
        <v>83345</v>
      </c>
      <c r="E92" s="78" t="s">
        <v>903</v>
      </c>
      <c r="F92" s="78" t="s">
        <v>297</v>
      </c>
      <c r="G92" s="78">
        <v>189</v>
      </c>
      <c r="H92">
        <f>G92/Table28[[#This Row],[Population]]</f>
        <v>2.2676825244465773E-3</v>
      </c>
      <c r="J92"/>
      <c r="M92"/>
      <c r="P92"/>
    </row>
    <row r="93" spans="1:16" ht="21">
      <c r="A93" s="52">
        <v>28</v>
      </c>
      <c r="B93" s="53" t="s">
        <v>937</v>
      </c>
      <c r="C93" s="54">
        <v>49293</v>
      </c>
      <c r="E93" s="78" t="s">
        <v>904</v>
      </c>
      <c r="F93" s="78" t="s">
        <v>297</v>
      </c>
      <c r="G93" s="78">
        <v>85</v>
      </c>
      <c r="H93">
        <f>G93/Table28[[#This Row],[Population]]</f>
        <v>1.7243827724017608E-3</v>
      </c>
      <c r="J93"/>
      <c r="M93"/>
      <c r="P93"/>
    </row>
    <row r="94" spans="1:16" ht="21">
      <c r="A94" s="52">
        <v>31</v>
      </c>
      <c r="B94" s="53" t="s">
        <v>384</v>
      </c>
      <c r="C94" s="54">
        <v>38184</v>
      </c>
      <c r="E94" s="78" t="s">
        <v>611</v>
      </c>
      <c r="F94" s="78" t="s">
        <v>297</v>
      </c>
      <c r="G94" s="78">
        <v>69</v>
      </c>
      <c r="H94">
        <f>G94/Table28[[#This Row],[Population]]</f>
        <v>1.8070395977372721E-3</v>
      </c>
      <c r="J94"/>
      <c r="M94"/>
      <c r="P94"/>
    </row>
    <row r="95" spans="1:16" ht="21">
      <c r="A95" s="52">
        <v>20</v>
      </c>
      <c r="B95" s="53" t="s">
        <v>190</v>
      </c>
      <c r="C95" s="54">
        <v>71430</v>
      </c>
      <c r="E95" s="78" t="s">
        <v>91</v>
      </c>
      <c r="F95" s="78" t="s">
        <v>297</v>
      </c>
      <c r="G95" s="78">
        <v>222</v>
      </c>
      <c r="H95">
        <f>G95/Table28[[#This Row],[Population]]</f>
        <v>3.1079378412431752E-3</v>
      </c>
      <c r="J95"/>
      <c r="M95"/>
      <c r="P95"/>
    </row>
    <row r="96" spans="1:16" ht="21">
      <c r="A96" s="52">
        <v>18</v>
      </c>
      <c r="B96" s="53" t="s">
        <v>820</v>
      </c>
      <c r="C96" s="54">
        <v>81526</v>
      </c>
      <c r="E96" s="78" t="s">
        <v>905</v>
      </c>
      <c r="F96" s="78" t="s">
        <v>297</v>
      </c>
      <c r="G96" s="78">
        <v>88</v>
      </c>
      <c r="H96">
        <f>G96/Table28[[#This Row],[Population]]</f>
        <v>1.0794102494909598E-3</v>
      </c>
      <c r="J96"/>
      <c r="M96"/>
      <c r="P96"/>
    </row>
    <row r="97" spans="1:16" ht="21">
      <c r="A97" s="52">
        <v>33</v>
      </c>
      <c r="B97" s="53" t="s">
        <v>938</v>
      </c>
      <c r="C97" s="54">
        <v>36775</v>
      </c>
      <c r="E97" s="78" t="s">
        <v>906</v>
      </c>
      <c r="F97" s="78" t="s">
        <v>297</v>
      </c>
      <c r="G97" s="78">
        <v>119</v>
      </c>
      <c r="H97">
        <f>G97/Table28[[#This Row],[Population]]</f>
        <v>3.2358939496940856E-3</v>
      </c>
      <c r="J97"/>
      <c r="M97"/>
      <c r="P97"/>
    </row>
    <row r="98" spans="1:16" ht="21">
      <c r="A98" s="52">
        <v>12</v>
      </c>
      <c r="B98" s="53" t="s">
        <v>939</v>
      </c>
      <c r="C98" s="54">
        <v>102721</v>
      </c>
      <c r="E98" s="78" t="s">
        <v>907</v>
      </c>
      <c r="F98" s="78" t="s">
        <v>297</v>
      </c>
      <c r="G98" s="78">
        <v>324</v>
      </c>
      <c r="H98">
        <f>G98/Table28[[#This Row],[Population]]</f>
        <v>3.1541749009452789E-3</v>
      </c>
      <c r="J98"/>
      <c r="M98"/>
      <c r="P98"/>
    </row>
    <row r="99" spans="1:16" ht="21">
      <c r="A99" s="52">
        <v>52</v>
      </c>
      <c r="B99" s="53" t="s">
        <v>193</v>
      </c>
      <c r="C99" s="54">
        <v>16406</v>
      </c>
      <c r="E99" s="78" t="s">
        <v>94</v>
      </c>
      <c r="F99" s="78" t="s">
        <v>297</v>
      </c>
      <c r="G99" s="78">
        <v>45</v>
      </c>
      <c r="H99">
        <f>G99/Table28[[#This Row],[Population]]</f>
        <v>2.74289893941241E-3</v>
      </c>
      <c r="J99"/>
      <c r="M99"/>
      <c r="P99"/>
    </row>
    <row r="100" spans="1:16" ht="21">
      <c r="A100" s="52">
        <v>37</v>
      </c>
      <c r="B100" s="53" t="s">
        <v>195</v>
      </c>
      <c r="C100" s="54">
        <v>31587</v>
      </c>
      <c r="E100" s="78" t="s">
        <v>96</v>
      </c>
      <c r="F100" s="78" t="s">
        <v>297</v>
      </c>
      <c r="G100" s="78">
        <v>59</v>
      </c>
      <c r="H100">
        <f>G100/Table28[[#This Row],[Population]]</f>
        <v>1.8678570297907366E-3</v>
      </c>
      <c r="J100"/>
      <c r="M100"/>
      <c r="P100"/>
    </row>
    <row r="101" spans="1:16" ht="21">
      <c r="A101" s="52">
        <v>39</v>
      </c>
      <c r="B101" s="53" t="s">
        <v>940</v>
      </c>
      <c r="C101" s="54">
        <v>26383</v>
      </c>
      <c r="E101" s="78" t="s">
        <v>908</v>
      </c>
      <c r="F101" s="78" t="s">
        <v>297</v>
      </c>
      <c r="G101" s="78">
        <v>44</v>
      </c>
      <c r="H101">
        <f>G101/Table28[[#This Row],[Population]]</f>
        <v>1.6677405905317819E-3</v>
      </c>
      <c r="J101"/>
      <c r="M101"/>
      <c r="P101"/>
    </row>
    <row r="102" spans="1:16" ht="21">
      <c r="A102" s="52">
        <v>67</v>
      </c>
      <c r="B102" s="53" t="s">
        <v>199</v>
      </c>
      <c r="C102" s="54">
        <v>8221</v>
      </c>
      <c r="E102" s="78" t="s">
        <v>100</v>
      </c>
      <c r="F102" s="78" t="s">
        <v>297</v>
      </c>
      <c r="G102" s="78">
        <v>11</v>
      </c>
      <c r="H102">
        <f>G102/Table28[[#This Row],[Population]]</f>
        <v>1.3380367351903662E-3</v>
      </c>
      <c r="J102"/>
      <c r="M102"/>
      <c r="P102"/>
    </row>
    <row r="103" spans="1:16" ht="21">
      <c r="A103" s="52">
        <v>55</v>
      </c>
      <c r="B103" s="53" t="s">
        <v>420</v>
      </c>
      <c r="C103" s="54">
        <v>14754</v>
      </c>
      <c r="E103" s="78" t="s">
        <v>647</v>
      </c>
      <c r="F103" s="78" t="s">
        <v>297</v>
      </c>
      <c r="G103" s="78">
        <v>28</v>
      </c>
      <c r="H103">
        <f>G103/Table28[[#This Row],[Population]]</f>
        <v>1.8977904297139759E-3</v>
      </c>
      <c r="J103"/>
      <c r="M103"/>
      <c r="P103"/>
    </row>
    <row r="104" spans="1:16" ht="21">
      <c r="A104" s="52">
        <v>51</v>
      </c>
      <c r="B104" s="53" t="s">
        <v>209</v>
      </c>
      <c r="C104" s="54">
        <v>17123</v>
      </c>
      <c r="E104" s="78" t="s">
        <v>110</v>
      </c>
      <c r="F104" s="78" t="s">
        <v>297</v>
      </c>
      <c r="G104" s="78">
        <v>16</v>
      </c>
      <c r="H104">
        <f>G104/Table28[[#This Row],[Population]]</f>
        <v>9.3441569818372944E-4</v>
      </c>
      <c r="J104"/>
      <c r="M104"/>
      <c r="P104"/>
    </row>
    <row r="105" spans="1:16" ht="21">
      <c r="A105" s="52">
        <v>11</v>
      </c>
      <c r="B105" s="53" t="s">
        <v>211</v>
      </c>
      <c r="C105" s="54">
        <v>105319</v>
      </c>
      <c r="E105" s="78" t="s">
        <v>112</v>
      </c>
      <c r="F105" s="78" t="s">
        <v>297</v>
      </c>
      <c r="G105" s="78">
        <v>138</v>
      </c>
      <c r="H105">
        <f>G105/Table28[[#This Row],[Population]]</f>
        <v>1.3103048832594309E-3</v>
      </c>
      <c r="J105"/>
      <c r="M105"/>
      <c r="P105"/>
    </row>
    <row r="106" spans="1:16" ht="21">
      <c r="A106" s="52">
        <v>27</v>
      </c>
      <c r="B106" s="53" t="s">
        <v>213</v>
      </c>
      <c r="C106" s="54">
        <v>51765</v>
      </c>
      <c r="E106" s="78" t="s">
        <v>114</v>
      </c>
      <c r="F106" s="78" t="s">
        <v>297</v>
      </c>
      <c r="G106" s="78">
        <v>128</v>
      </c>
      <c r="H106">
        <f>G106/Table28[[#This Row],[Population]]</f>
        <v>2.4727132232203225E-3</v>
      </c>
      <c r="J106"/>
      <c r="M106"/>
      <c r="P106"/>
    </row>
    <row r="107" spans="1:16" ht="21">
      <c r="A107" s="52">
        <v>1</v>
      </c>
      <c r="B107" s="53" t="s">
        <v>214</v>
      </c>
      <c r="C107" s="54">
        <v>658615</v>
      </c>
      <c r="E107" s="78" t="s">
        <v>115</v>
      </c>
      <c r="F107" s="78" t="s">
        <v>297</v>
      </c>
      <c r="G107" s="78">
        <v>558</v>
      </c>
      <c r="H107">
        <f>G107/Table28[[#This Row],[Population]]</f>
        <v>8.4723244991383433E-4</v>
      </c>
      <c r="J107"/>
      <c r="M107"/>
      <c r="P107"/>
    </row>
    <row r="108" spans="1:16" ht="21">
      <c r="A108" s="52">
        <v>56</v>
      </c>
      <c r="B108" s="53" t="s">
        <v>455</v>
      </c>
      <c r="C108" s="54">
        <v>13854</v>
      </c>
      <c r="E108" s="78" t="s">
        <v>682</v>
      </c>
      <c r="F108" s="78" t="s">
        <v>297</v>
      </c>
      <c r="G108" s="78">
        <v>66</v>
      </c>
      <c r="H108">
        <f>G108/Table28[[#This Row],[Population]]</f>
        <v>4.7639670853183193E-3</v>
      </c>
      <c r="J108"/>
      <c r="M108"/>
      <c r="P108"/>
    </row>
    <row r="109" spans="1:16" ht="21">
      <c r="A109" s="52">
        <v>15</v>
      </c>
      <c r="B109" s="53" t="s">
        <v>218</v>
      </c>
      <c r="C109" s="54">
        <v>92870</v>
      </c>
      <c r="E109" s="78" t="s">
        <v>119</v>
      </c>
      <c r="F109" s="78" t="s">
        <v>297</v>
      </c>
      <c r="G109" s="78">
        <v>295</v>
      </c>
      <c r="H109">
        <f>G109/Table28[[#This Row],[Population]]</f>
        <v>3.1764832561645309E-3</v>
      </c>
      <c r="J109"/>
      <c r="M109"/>
      <c r="P109"/>
    </row>
    <row r="110" spans="1:16" ht="21">
      <c r="A110" s="52">
        <v>36</v>
      </c>
      <c r="B110" s="53" t="s">
        <v>219</v>
      </c>
      <c r="C110" s="54">
        <v>32969</v>
      </c>
      <c r="E110" s="78" t="s">
        <v>120</v>
      </c>
      <c r="F110" s="78" t="s">
        <v>297</v>
      </c>
      <c r="G110" s="78">
        <v>37</v>
      </c>
      <c r="H110">
        <f>G110/Table28[[#This Row],[Population]]</f>
        <v>1.1222663714398375E-3</v>
      </c>
      <c r="J110"/>
      <c r="M110"/>
      <c r="P110"/>
    </row>
    <row r="111" spans="1:16" ht="21">
      <c r="A111" s="52">
        <v>8</v>
      </c>
      <c r="B111" s="53" t="s">
        <v>459</v>
      </c>
      <c r="C111" s="54">
        <v>163461</v>
      </c>
      <c r="E111" s="78" t="s">
        <v>687</v>
      </c>
      <c r="F111" s="78" t="s">
        <v>297</v>
      </c>
      <c r="G111" s="78">
        <v>234</v>
      </c>
      <c r="H111">
        <f>G111/Table28[[#This Row],[Population]]</f>
        <v>1.4315341274065373E-3</v>
      </c>
      <c r="J111"/>
      <c r="M111"/>
      <c r="P111"/>
    </row>
    <row r="112" spans="1:16" ht="21">
      <c r="A112" s="52">
        <v>13</v>
      </c>
      <c r="B112" s="53" t="s">
        <v>462</v>
      </c>
      <c r="C112" s="54">
        <v>96921</v>
      </c>
      <c r="E112" s="78" t="s">
        <v>690</v>
      </c>
      <c r="F112" s="78" t="s">
        <v>297</v>
      </c>
      <c r="G112" s="78">
        <v>95</v>
      </c>
      <c r="H112">
        <f>G112/Table28[[#This Row],[Population]]</f>
        <v>9.8017973401017325E-4</v>
      </c>
      <c r="J112"/>
      <c r="M112"/>
      <c r="P112"/>
    </row>
    <row r="113" spans="1:16" ht="21">
      <c r="A113" s="52">
        <v>65</v>
      </c>
      <c r="B113" s="53" t="s">
        <v>941</v>
      </c>
      <c r="C113" s="54">
        <v>9936</v>
      </c>
      <c r="E113" s="78" t="s">
        <v>909</v>
      </c>
      <c r="F113" s="78" t="s">
        <v>297</v>
      </c>
      <c r="G113" s="78">
        <v>13</v>
      </c>
      <c r="H113">
        <f>G113/Table28[[#This Row],[Population]]</f>
        <v>1.3083735909822866E-3</v>
      </c>
      <c r="J113"/>
      <c r="M113"/>
      <c r="P113"/>
    </row>
    <row r="114" spans="1:16" ht="21">
      <c r="A114" s="52">
        <v>50</v>
      </c>
      <c r="B114" s="53" t="s">
        <v>225</v>
      </c>
      <c r="C114" s="54">
        <v>18437</v>
      </c>
      <c r="E114" s="78" t="s">
        <v>124</v>
      </c>
      <c r="F114" s="78" t="s">
        <v>297</v>
      </c>
      <c r="G114" s="78">
        <v>33</v>
      </c>
      <c r="H114">
        <f>G114/Table28[[#This Row],[Population]]</f>
        <v>1.7898790475673917E-3</v>
      </c>
      <c r="J114"/>
      <c r="M114"/>
      <c r="P114"/>
    </row>
    <row r="115" spans="1:16" ht="21">
      <c r="A115" s="52">
        <v>3</v>
      </c>
      <c r="B115" s="53" t="s">
        <v>226</v>
      </c>
      <c r="C115" s="54">
        <v>367686</v>
      </c>
      <c r="E115" s="78" t="s">
        <v>125</v>
      </c>
      <c r="F115" s="78" t="s">
        <v>297</v>
      </c>
      <c r="G115" s="78">
        <v>159</v>
      </c>
      <c r="H115">
        <f>G115/Table28[[#This Row],[Population]]</f>
        <v>4.3243419656989934E-4</v>
      </c>
      <c r="J115"/>
      <c r="M115"/>
      <c r="P115"/>
    </row>
    <row r="116" spans="1:16" ht="21">
      <c r="A116" s="52">
        <v>49</v>
      </c>
      <c r="B116" s="53" t="s">
        <v>942</v>
      </c>
      <c r="C116" s="54">
        <v>19138</v>
      </c>
      <c r="E116" s="78" t="s">
        <v>910</v>
      </c>
      <c r="F116" s="78" t="s">
        <v>297</v>
      </c>
      <c r="G116" s="78">
        <v>59</v>
      </c>
      <c r="H116">
        <f>G116/Table28[[#This Row],[Population]]</f>
        <v>3.0828717734350509E-3</v>
      </c>
      <c r="J116"/>
      <c r="M116"/>
      <c r="P116"/>
    </row>
    <row r="117" spans="1:16" ht="21">
      <c r="A117" s="52">
        <v>38</v>
      </c>
      <c r="B117" s="53" t="s">
        <v>227</v>
      </c>
      <c r="C117" s="54">
        <v>29818</v>
      </c>
      <c r="E117" s="78" t="s">
        <v>126</v>
      </c>
      <c r="F117" s="78" t="s">
        <v>297</v>
      </c>
      <c r="G117" s="78">
        <v>61</v>
      </c>
      <c r="H117">
        <f>G117/Table28[[#This Row],[Population]]</f>
        <v>2.0457441813669596E-3</v>
      </c>
      <c r="J117"/>
      <c r="M117"/>
      <c r="P117"/>
    </row>
    <row r="118" spans="1:16" ht="21">
      <c r="A118" s="52">
        <v>14</v>
      </c>
      <c r="B118" s="53" t="s">
        <v>228</v>
      </c>
      <c r="C118" s="54">
        <v>96137</v>
      </c>
      <c r="E118" s="78" t="s">
        <v>127</v>
      </c>
      <c r="F118" s="78" t="s">
        <v>297</v>
      </c>
      <c r="G118" s="78">
        <v>358</v>
      </c>
      <c r="H118">
        <f>G118/Table28[[#This Row],[Population]]</f>
        <v>3.7238524189437991E-3</v>
      </c>
      <c r="J118"/>
      <c r="M118"/>
      <c r="P118"/>
    </row>
    <row r="119" spans="1:16" ht="21">
      <c r="A119" s="52">
        <v>2</v>
      </c>
      <c r="B119" s="53" t="s">
        <v>943</v>
      </c>
      <c r="C119" s="54">
        <v>413977</v>
      </c>
      <c r="E119" s="78" t="s">
        <v>911</v>
      </c>
      <c r="F119" s="78" t="s">
        <v>297</v>
      </c>
      <c r="G119" s="78">
        <v>985</v>
      </c>
      <c r="H119">
        <f>G119/Table28[[#This Row],[Population]]</f>
        <v>2.3793592397645278E-3</v>
      </c>
      <c r="J119"/>
      <c r="M119"/>
      <c r="P119"/>
    </row>
    <row r="120" spans="1:16" ht="21">
      <c r="A120" s="52">
        <v>46</v>
      </c>
      <c r="B120" s="53" t="s">
        <v>231</v>
      </c>
      <c r="C120" s="54">
        <v>21006</v>
      </c>
      <c r="E120" s="78" t="s">
        <v>132</v>
      </c>
      <c r="F120" s="78" t="s">
        <v>297</v>
      </c>
      <c r="G120" s="78">
        <v>30</v>
      </c>
      <c r="H120">
        <f>G120/Table28[[#This Row],[Population]]</f>
        <v>1.4281633818908884E-3</v>
      </c>
      <c r="J120"/>
      <c r="M120"/>
      <c r="P120"/>
    </row>
    <row r="121" spans="1:16" ht="21">
      <c r="A121" s="52">
        <v>4</v>
      </c>
      <c r="B121" s="53" t="s">
        <v>232</v>
      </c>
      <c r="C121" s="54">
        <v>226451</v>
      </c>
      <c r="E121" s="78" t="s">
        <v>133</v>
      </c>
      <c r="F121" s="78" t="s">
        <v>297</v>
      </c>
      <c r="G121" s="78">
        <v>395</v>
      </c>
      <c r="H121">
        <f>G121/Table28[[#This Row],[Population]]</f>
        <v>1.7443067153600559E-3</v>
      </c>
      <c r="J121"/>
      <c r="M121"/>
      <c r="P121"/>
    </row>
    <row r="122" spans="1:16" ht="21">
      <c r="A122" s="52">
        <v>9</v>
      </c>
      <c r="B122" s="53" t="s">
        <v>234</v>
      </c>
      <c r="C122" s="54">
        <v>119352</v>
      </c>
      <c r="E122" s="78" t="s">
        <v>135</v>
      </c>
      <c r="F122" s="78" t="s">
        <v>297</v>
      </c>
      <c r="G122" s="78">
        <v>252</v>
      </c>
      <c r="H122">
        <f>G122/Table28[[#This Row],[Population]]</f>
        <v>2.1114015684697367E-3</v>
      </c>
      <c r="J122"/>
      <c r="M122"/>
      <c r="P122"/>
    </row>
    <row r="123" spans="1:16" ht="21">
      <c r="A123" s="52">
        <v>66</v>
      </c>
      <c r="B123" s="53" t="s">
        <v>237</v>
      </c>
      <c r="C123" s="54">
        <v>9104</v>
      </c>
      <c r="E123" s="78" t="s">
        <v>138</v>
      </c>
      <c r="F123" s="78" t="s">
        <v>297</v>
      </c>
      <c r="G123" s="78">
        <v>8</v>
      </c>
      <c r="H123">
        <f>G123/Table28[[#This Row],[Population]]</f>
        <v>8.7873462214411243E-4</v>
      </c>
      <c r="J123"/>
      <c r="M123"/>
      <c r="P123"/>
    </row>
    <row r="124" spans="1:16" ht="21">
      <c r="A124" s="52">
        <v>47</v>
      </c>
      <c r="B124" s="53" t="s">
        <v>944</v>
      </c>
      <c r="C124" s="54">
        <v>20049</v>
      </c>
      <c r="E124" s="78" t="s">
        <v>912</v>
      </c>
      <c r="F124" s="78" t="s">
        <v>297</v>
      </c>
      <c r="G124" s="78">
        <v>28</v>
      </c>
      <c r="H124">
        <f>G124/Table28[[#This Row],[Population]]</f>
        <v>1.3965783829617438E-3</v>
      </c>
      <c r="J124"/>
      <c r="M124"/>
      <c r="P124"/>
    </row>
    <row r="125" spans="1:16" ht="21">
      <c r="A125" s="52">
        <v>35</v>
      </c>
      <c r="B125" s="53" t="s">
        <v>945</v>
      </c>
      <c r="C125" s="54">
        <v>33274</v>
      </c>
      <c r="E125" s="78" t="s">
        <v>913</v>
      </c>
      <c r="F125" s="78" t="s">
        <v>297</v>
      </c>
      <c r="G125" s="78">
        <v>79</v>
      </c>
      <c r="H125">
        <f>G125/Table28[[#This Row],[Population]]</f>
        <v>2.3742261224980465E-3</v>
      </c>
      <c r="J125"/>
      <c r="M125"/>
      <c r="P125"/>
    </row>
    <row r="126" spans="1:16" ht="21">
      <c r="A126" s="52">
        <v>44</v>
      </c>
      <c r="B126" s="53" t="s">
        <v>849</v>
      </c>
      <c r="C126" s="54">
        <v>22732</v>
      </c>
      <c r="E126" s="78" t="s">
        <v>880</v>
      </c>
      <c r="F126" s="78" t="s">
        <v>297</v>
      </c>
      <c r="G126" s="78">
        <v>59</v>
      </c>
      <c r="H126">
        <f>G126/Table28[[#This Row],[Population]]</f>
        <v>2.5954601442899879E-3</v>
      </c>
      <c r="J126"/>
      <c r="M126"/>
      <c r="P126"/>
    </row>
    <row r="127" spans="1:16" ht="21">
      <c r="A127" s="52">
        <v>22</v>
      </c>
      <c r="B127" s="53" t="s">
        <v>946</v>
      </c>
      <c r="C127" s="54">
        <v>57938</v>
      </c>
      <c r="E127" s="78" t="s">
        <v>914</v>
      </c>
      <c r="F127" s="78" t="s">
        <v>297</v>
      </c>
      <c r="G127" s="78">
        <v>123</v>
      </c>
      <c r="H127">
        <f>G127/Table28[[#This Row],[Population]]</f>
        <v>2.1229590251648314E-3</v>
      </c>
      <c r="J127"/>
      <c r="M127"/>
      <c r="P127"/>
    </row>
    <row r="128" spans="1:16" ht="21">
      <c r="A128" s="52">
        <v>6</v>
      </c>
      <c r="B128" s="53" t="s">
        <v>264</v>
      </c>
      <c r="C128" s="54">
        <v>216350</v>
      </c>
      <c r="E128" s="78" t="s">
        <v>149</v>
      </c>
      <c r="F128" s="78" t="s">
        <v>297</v>
      </c>
      <c r="G128" s="78">
        <v>278</v>
      </c>
      <c r="H128">
        <f>G128/Table28[[#This Row],[Population]]</f>
        <v>1.2849549341345042E-3</v>
      </c>
      <c r="J128"/>
      <c r="M128"/>
      <c r="P128"/>
    </row>
    <row r="129" spans="1:16" ht="21">
      <c r="A129" s="52">
        <v>16</v>
      </c>
      <c r="B129" s="53" t="s">
        <v>947</v>
      </c>
      <c r="C129" s="54">
        <v>88929</v>
      </c>
      <c r="E129" s="78" t="s">
        <v>915</v>
      </c>
      <c r="F129" s="78" t="s">
        <v>297</v>
      </c>
      <c r="G129" s="78">
        <v>137</v>
      </c>
      <c r="H129">
        <f>G129/Table28[[#This Row],[Population]]</f>
        <v>1.5405548246353834E-3</v>
      </c>
      <c r="J129"/>
      <c r="M129"/>
      <c r="P129"/>
    </row>
    <row r="130" spans="1:16" ht="21">
      <c r="A130" s="52">
        <v>60</v>
      </c>
      <c r="B130" s="53" t="s">
        <v>948</v>
      </c>
      <c r="C130" s="54">
        <v>12595</v>
      </c>
      <c r="E130" s="78" t="s">
        <v>916</v>
      </c>
      <c r="F130" s="78" t="s">
        <v>297</v>
      </c>
      <c r="G130" s="78">
        <v>14</v>
      </c>
      <c r="H130">
        <f>G130/Table28[[#This Row],[Population]]</f>
        <v>1.1115522032552601E-3</v>
      </c>
      <c r="J130"/>
      <c r="M130"/>
      <c r="P130"/>
    </row>
    <row r="131" spans="1:16" ht="21">
      <c r="A131" s="52">
        <v>19</v>
      </c>
      <c r="B131" s="53" t="s">
        <v>949</v>
      </c>
      <c r="C131" s="54">
        <v>80244</v>
      </c>
      <c r="E131" s="78" t="s">
        <v>917</v>
      </c>
      <c r="F131" s="78" t="s">
        <v>297</v>
      </c>
      <c r="G131" s="78">
        <v>286</v>
      </c>
      <c r="H131">
        <f>G131/Table28[[#This Row],[Population]]</f>
        <v>3.564129405313793E-3</v>
      </c>
      <c r="J131"/>
      <c r="M131"/>
      <c r="P131"/>
    </row>
    <row r="132" spans="1:16" ht="21">
      <c r="A132" s="52">
        <v>30</v>
      </c>
      <c r="B132" s="53" t="s">
        <v>950</v>
      </c>
      <c r="C132" s="54">
        <v>40450</v>
      </c>
      <c r="E132" s="78" t="s">
        <v>918</v>
      </c>
      <c r="F132" s="78" t="s">
        <v>297</v>
      </c>
      <c r="G132" s="78">
        <v>87</v>
      </c>
      <c r="H132">
        <f>G132/Table28[[#This Row],[Population]]</f>
        <v>2.1508034610630408E-3</v>
      </c>
      <c r="J132"/>
      <c r="M132"/>
      <c r="P132"/>
    </row>
    <row r="133" spans="1:16" ht="21">
      <c r="A133" s="52">
        <v>7</v>
      </c>
      <c r="B133" s="53" t="s">
        <v>951</v>
      </c>
      <c r="C133" s="54">
        <v>208854</v>
      </c>
      <c r="E133" s="78" t="s">
        <v>919</v>
      </c>
      <c r="F133" s="78" t="s">
        <v>297</v>
      </c>
      <c r="G133" s="78">
        <v>228</v>
      </c>
      <c r="H133">
        <f>G133/Table28[[#This Row],[Population]]</f>
        <v>1.0916716941021E-3</v>
      </c>
      <c r="J133"/>
      <c r="M133"/>
      <c r="P133"/>
    </row>
    <row r="134" spans="1:16" ht="21">
      <c r="A134" s="52">
        <v>21</v>
      </c>
      <c r="B134" s="53" t="s">
        <v>541</v>
      </c>
      <c r="C134" s="54">
        <v>63802</v>
      </c>
      <c r="E134" s="78" t="s">
        <v>770</v>
      </c>
      <c r="F134" s="78" t="s">
        <v>297</v>
      </c>
      <c r="G134" s="78">
        <v>146</v>
      </c>
      <c r="H134">
        <f>G134/Table28[[#This Row],[Population]]</f>
        <v>2.2883295194508009E-3</v>
      </c>
      <c r="J134"/>
      <c r="M134"/>
      <c r="P134"/>
    </row>
    <row r="135" spans="1:16" ht="21">
      <c r="A135" s="52">
        <v>53</v>
      </c>
      <c r="B135" s="53" t="s">
        <v>258</v>
      </c>
      <c r="C135" s="54">
        <v>16336</v>
      </c>
      <c r="E135" s="78" t="s">
        <v>38</v>
      </c>
      <c r="F135" s="78" t="s">
        <v>297</v>
      </c>
      <c r="G135" s="78">
        <v>36</v>
      </c>
      <c r="H135">
        <f>G135/Table28[[#This Row],[Population]]</f>
        <v>2.2037218413320275E-3</v>
      </c>
      <c r="J135"/>
      <c r="M135"/>
      <c r="P135"/>
    </row>
    <row r="136" spans="1:16" ht="21">
      <c r="A136" s="52">
        <v>63</v>
      </c>
      <c r="B136" s="53" t="s">
        <v>952</v>
      </c>
      <c r="C136" s="54">
        <v>10552</v>
      </c>
      <c r="E136" s="78" t="s">
        <v>920</v>
      </c>
      <c r="F136" s="78" t="s">
        <v>297</v>
      </c>
      <c r="G136" s="78">
        <v>14</v>
      </c>
      <c r="H136">
        <f>G136/Table28[[#This Row],[Population]]</f>
        <v>1.3267626990144049E-3</v>
      </c>
      <c r="J136"/>
      <c r="M136"/>
      <c r="P136"/>
    </row>
    <row r="137" spans="1:16" ht="21">
      <c r="A137" s="52">
        <v>43</v>
      </c>
      <c r="B137" s="53" t="s">
        <v>953</v>
      </c>
      <c r="C137" s="54">
        <v>23712</v>
      </c>
      <c r="E137" s="78" t="s">
        <v>921</v>
      </c>
      <c r="F137" s="78" t="s">
        <v>297</v>
      </c>
      <c r="G137" s="78">
        <v>80</v>
      </c>
      <c r="H137">
        <f>G137/Table28[[#This Row],[Population]]</f>
        <v>3.3738191632928477E-3</v>
      </c>
      <c r="J137"/>
      <c r="M137"/>
      <c r="P137"/>
    </row>
  </sheetData>
  <hyperlinks>
    <hyperlink ref="B107" r:id="rId1" display="https://www.alabama-demographics.com/jefferson-county-demographics" xr:uid="{01C0B957-6089-8348-A092-F02E334610EF}"/>
    <hyperlink ref="B119" r:id="rId2" display="https://www.alabama-demographics.com/mobile-county-demographics" xr:uid="{D88CAEFC-2CBE-544D-A7F8-C7C66BFAD03B}"/>
    <hyperlink ref="B115" r:id="rId3" display="https://www.alabama-demographics.com/madison-county-demographics" xr:uid="{855201B3-CB89-B748-8D41-B4157CEE7479}"/>
    <hyperlink ref="B121" r:id="rId4" display="https://www.alabama-demographics.com/montgomery-county-demographics" xr:uid="{8F30898D-A339-624D-AE6B-67E630EC1F0D}"/>
    <hyperlink ref="B72" r:id="rId5" display="https://www.alabama-demographics.com/baldwin-county-demographics" xr:uid="{E429021A-E916-6347-A215-8C6420BAE08C}"/>
    <hyperlink ref="B128" r:id="rId6" display="https://www.alabama-demographics.com/shelby-county-demographics" xr:uid="{AE191BB7-E87C-6C4B-A067-8B0E13F82DC1}"/>
    <hyperlink ref="B133" r:id="rId7" display="https://www.alabama-demographics.com/tuscaloosa-county-demographics" xr:uid="{C8CCA847-942E-1048-BCF4-926DCBC34930}"/>
    <hyperlink ref="B111" r:id="rId8" display="https://www.alabama-demographics.com/lee-county-demographics" xr:uid="{2A4513D0-B848-7041-B782-F8C3D4F1D9CC}"/>
    <hyperlink ref="B122" r:id="rId9" display="https://www.alabama-demographics.com/morgan-county-demographics" xr:uid="{B418B411-AE0F-0D47-8C9C-1D181FCE5B46}"/>
    <hyperlink ref="B78" r:id="rId10" display="https://www.alabama-demographics.com/calhoun-county-demographics" xr:uid="{4FAC5F09-31E6-1145-BF9C-37A394A0C194}"/>
    <hyperlink ref="B105" r:id="rId11" display="https://www.alabama-demographics.com/houston-county-demographics" xr:uid="{795823B0-9A1B-924B-BA9D-32A0CB04DC65}"/>
    <hyperlink ref="B98" r:id="rId12" display="https://www.alabama-demographics.com/etowah-county-demographics" xr:uid="{0286383F-FEF6-7B4D-8635-988FA3061927}"/>
    <hyperlink ref="B112" r:id="rId13" display="https://www.alabama-demographics.com/limestone-county-demographics" xr:uid="{55E2E65C-F6CE-6447-A31E-6AFA54CC2DE3}"/>
    <hyperlink ref="B118" r:id="rId14" display="https://www.alabama-demographics.com/marshall-county-demographics" xr:uid="{16922CAE-5FE9-624E-807A-8B06ED5A5625}"/>
    <hyperlink ref="B109" r:id="rId15" display="https://www.alabama-demographics.com/lauderdale-county-demographics" xr:uid="{6A3BDFC0-FB20-1745-90A2-1536F8D27970}"/>
    <hyperlink ref="B129" r:id="rId16" display="https://www.alabama-demographics.com/st-clair-county-demographics" xr:uid="{A36E912B-FCA1-9247-88A4-3A24B441FE0C}"/>
    <hyperlink ref="B92" r:id="rId17" display="https://www.alabama-demographics.com/cullman-county-demographics" xr:uid="{2A96A462-C190-A741-B7C9-9148B373348F}"/>
    <hyperlink ref="B96" r:id="rId18" display="https://www.alabama-demographics.com/elmore-county-demographics" xr:uid="{03C85775-BC4A-AB41-BD61-4501C8426419}"/>
    <hyperlink ref="B131" r:id="rId19" display="https://www.alabama-demographics.com/talladega-county-demographics" xr:uid="{7782522B-F5E8-AE46-A9A6-25568B5D3877}"/>
    <hyperlink ref="B95" r:id="rId20" display="https://www.alabama-demographics.com/dekalb-county-demographics" xr:uid="{B45E26EA-1EF7-4442-9C09-7AE69B6DF3EB}"/>
    <hyperlink ref="B134" r:id="rId21" display="https://www.alabama-demographics.com/walker-county-demographics" xr:uid="{E17579CA-A074-8341-8FC7-DDBC5FFCC0A2}"/>
    <hyperlink ref="B127" r:id="rId22" display="https://www.alabama-demographics.com/russell-county-demographics" xr:uid="{E0770671-D430-AE42-8631-EA0A0AA6E11C}"/>
    <hyperlink ref="B75" r:id="rId23" display="https://www.alabama-demographics.com/blount-county-demographics" xr:uid="{C1CB0510-60D7-F04C-ABAB-2C8E5C3D086E}"/>
    <hyperlink ref="B71" r:id="rId24" display="https://www.alabama-demographics.com/autauga-county-demographics" xr:uid="{565A0A64-BA10-8541-B5BD-0BE07573A9EF}"/>
    <hyperlink ref="B87" r:id="rId25" display="https://www.alabama-demographics.com/colbert-county-demographics" xr:uid="{A2660010-18B7-1543-BFB1-23DFBA1A8CA6}"/>
    <hyperlink ref="B86" r:id="rId26" display="https://www.alabama-demographics.com/coffee-county-demographics" xr:uid="{6DA5EED2-B88E-704B-9162-6B74114D8626}"/>
    <hyperlink ref="B106" r:id="rId27" display="https://www.alabama-demographics.com/jackson-county-demographics" xr:uid="{EF12CAC0-1894-BF4C-A8E8-8A21E58AFB26}"/>
    <hyperlink ref="B93" r:id="rId28" display="https://www.alabama-demographics.com/dale-county-demographics" xr:uid="{088F03A1-0365-054A-9B65-E80D35A29033}"/>
    <hyperlink ref="B81" r:id="rId29" display="https://www.alabama-demographics.com/chilton-county-demographics" xr:uid="{008EC7C7-4E50-504C-A1CF-01195E206F41}"/>
    <hyperlink ref="B132" r:id="rId30" display="https://www.alabama-demographics.com/tallapoosa-county-demographics" xr:uid="{0185F9BD-B27E-CB4B-8DB7-621939F7C021}"/>
    <hyperlink ref="B94" r:id="rId31" display="https://www.alabama-demographics.com/dallas-county-demographics" xr:uid="{71AAB060-B91F-EE4E-B869-0B3219093B3E}"/>
    <hyperlink ref="B90" r:id="rId32" display="https://www.alabama-demographics.com/covington-county-demographics" xr:uid="{69CD1C56-4964-FC4C-A657-408B09F8EC6C}"/>
    <hyperlink ref="B97" r:id="rId33" display="https://www.alabama-demographics.com/escambia-county-demographics" xr:uid="{3C5BB250-77E9-BA43-ADA0-067EF74EF708}"/>
    <hyperlink ref="B79" r:id="rId34" display="https://www.alabama-demographics.com/chambers-county-demographics" xr:uid="{6A6F3576-417B-EC4C-84AF-A24C856FED8D}"/>
    <hyperlink ref="B125" r:id="rId35" display="https://www.alabama-demographics.com/pike-county-demographics" xr:uid="{41B24913-6874-A94B-9951-55D280A0F579}"/>
    <hyperlink ref="B110" r:id="rId36" display="https://www.alabama-demographics.com/lawrence-county-demographics" xr:uid="{3FD183A5-1336-404A-A175-92B0B71F0F6C}"/>
    <hyperlink ref="B100" r:id="rId37" display="https://www.alabama-demographics.com/franklin-county-demographics" xr:uid="{3F074E14-9922-5D4C-9E94-E9E1842E2B11}"/>
    <hyperlink ref="B117" r:id="rId38" display="https://www.alabama-demographics.com/marion-county-demographics" xr:uid="{85C004DA-3D86-3C43-BAB5-0B7A91E8912F}"/>
    <hyperlink ref="B101" r:id="rId39" display="https://www.alabama-demographics.com/geneva-county-demographics" xr:uid="{C043F427-ACC5-B641-9AA8-5A4D0A9C515C}"/>
    <hyperlink ref="B80" r:id="rId40" display="https://www.alabama-demographics.com/cherokee-county-demographics" xr:uid="{990D5303-6A99-1C4B-A3CE-CC48022CF111}"/>
    <hyperlink ref="B73" r:id="rId41" display="https://www.alabama-demographics.com/barbour-county-demographics" xr:uid="{7745B017-9356-C74C-9DE9-F5BDE7A9E286}"/>
    <hyperlink ref="B83" r:id="rId42" display="https://www.alabama-demographics.com/clarke-county-demographics" xr:uid="{0AB2824B-2ED4-1646-BDB7-65C516C32E22}"/>
    <hyperlink ref="B137" r:id="rId43" display="https://www.alabama-demographics.com/winston-county-demographics" xr:uid="{A57C72DE-6B0B-9049-AD2A-91D6CD07A9B6}"/>
    <hyperlink ref="B126" r:id="rId44" display="https://www.alabama-demographics.com/randolph-county-demographics" xr:uid="{1A928BAF-D10D-9047-9F46-A82BD2C12DF7}"/>
    <hyperlink ref="B74" r:id="rId45" display="https://www.alabama-demographics.com/bibb-county-demographics" xr:uid="{1F041E63-1B60-8D46-954F-B16D7D47E7B6}"/>
    <hyperlink ref="B120" r:id="rId46" display="https://www.alabama-demographics.com/monroe-county-demographics" xr:uid="{7831B20A-F914-6B43-8EED-E18F677F0357}"/>
    <hyperlink ref="B124" r:id="rId47" display="https://www.alabama-demographics.com/pickens-county-demographics" xr:uid="{7D46B262-D3BF-B045-8096-8D9AE5D85ADD}"/>
    <hyperlink ref="B77" r:id="rId48" display="https://www.alabama-demographics.com/butler-county-demographics" xr:uid="{EC284D35-6908-E74D-A3AA-3886D7907B8B}"/>
    <hyperlink ref="B116" r:id="rId49" display="https://www.alabama-demographics.com/marengo-county-demographics" xr:uid="{3D2229EE-D04C-6443-B52C-990094E1708F}"/>
    <hyperlink ref="B114" r:id="rId50" display="https://www.alabama-demographics.com/macon-county-demographics" xr:uid="{BDA0DC42-FEA6-8F47-8A13-42E6EF116BD4}"/>
    <hyperlink ref="B104" r:id="rId51" display="https://www.alabama-demographics.com/henry-county-demographics" xr:uid="{FD57CABB-888F-9E4B-8021-213F75ADFC1C}"/>
    <hyperlink ref="B99" r:id="rId52" display="https://www.alabama-demographics.com/fayette-county-demographics" xr:uid="{15A8C942-B8C3-0A4B-A025-EB992E22548D}"/>
    <hyperlink ref="B135" r:id="rId53" display="https://www.alabama-demographics.com/washington-county-demographics" xr:uid="{77845D4F-D318-B748-90EE-56579F549813}"/>
    <hyperlink ref="B85" r:id="rId54" display="https://www.alabama-demographics.com/cleburne-county-demographics" xr:uid="{36C29AAF-D8F2-4248-B57A-8B65CE6D52E6}"/>
    <hyperlink ref="B103" r:id="rId55" display="https://www.alabama-demographics.com/hale-county-demographics" xr:uid="{8E186904-8AC0-794E-897E-C614AA0EE733}"/>
    <hyperlink ref="B108" r:id="rId56" display="https://www.alabama-demographics.com/lamar-county-demographics" xr:uid="{CC33845A-CF13-3D4B-A4B7-85CC6979FAE8}"/>
    <hyperlink ref="B91" r:id="rId57" display="https://www.alabama-demographics.com/crenshaw-county-demographics" xr:uid="{A10B00D6-E4A0-304A-946D-B52D87B1976B}"/>
    <hyperlink ref="B84" r:id="rId58" display="https://www.alabama-demographics.com/clay-county-demographics" xr:uid="{DAA6AFDF-5814-2042-A677-CF878C68B0F4}"/>
    <hyperlink ref="B82" r:id="rId59" display="https://www.alabama-demographics.com/choctaw-county-demographics" xr:uid="{0AEC43F6-5662-1947-9FDB-4CBE3F1FBF2B}"/>
    <hyperlink ref="B130" r:id="rId60" display="https://www.alabama-demographics.com/sumter-county-demographics" xr:uid="{BA7E6C13-36B1-D046-99F3-CA63A7794499}"/>
    <hyperlink ref="B88" r:id="rId61" display="https://www.alabama-demographics.com/conecuh-county-demographics" xr:uid="{F6FF745B-3E62-8C49-A78E-CF14E49FE563}"/>
    <hyperlink ref="B89" r:id="rId62" display="https://www.alabama-demographics.com/coosa-county-demographics" xr:uid="{02FFC6B9-52C2-C442-B9D9-85BA234231A8}"/>
    <hyperlink ref="B136" r:id="rId63" display="https://www.alabama-demographics.com/wilcox-county-demographics" xr:uid="{BB6F9F72-FC7F-B146-9061-EC9F0AF01A37}"/>
    <hyperlink ref="B76" r:id="rId64" display="https://www.alabama-demographics.com/bullock-county-demographics" xr:uid="{E2AA9273-AC71-E347-8BD3-A14A0A086768}"/>
    <hyperlink ref="B113" r:id="rId65" display="https://www.alabama-demographics.com/lowndes-county-demographics" xr:uid="{55475406-DC66-DC4C-A851-55C509ED2EBF}"/>
    <hyperlink ref="B123" r:id="rId66" display="https://www.alabama-demographics.com/perry-county-demographics" xr:uid="{8BE73E13-3A33-D642-B2B4-F46837A735B1}"/>
    <hyperlink ref="B102" r:id="rId67" display="https://www.alabama-demographics.com/greene-county-demographics" xr:uid="{01A5FCD1-B85B-C943-8563-28D74168FB75}"/>
  </hyperlinks>
  <pageMargins left="0.7" right="0.7" top="0.75" bottom="0.75" header="0.3" footer="0.3"/>
  <tableParts count="4">
    <tablePart r:id="rId68"/>
    <tablePart r:id="rId69"/>
    <tablePart r:id="rId70"/>
    <tablePart r:id="rId7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19313-B737-9145-8050-4DE8C0447E7E}">
  <dimension ref="A1:S33"/>
  <sheetViews>
    <sheetView workbookViewId="0">
      <selection activeCell="R2" sqref="R2:R4"/>
    </sheetView>
  </sheetViews>
  <sheetFormatPr baseColWidth="10" defaultRowHeight="13"/>
  <cols>
    <col min="3" max="3" width="13.33203125" bestFit="1" customWidth="1"/>
    <col min="6" max="6" width="10.83203125" style="1"/>
    <col min="7" max="7" width="10.83203125" customWidth="1"/>
    <col min="8" max="8" width="12.1640625" customWidth="1"/>
    <col min="9" max="9" width="17.33203125" customWidth="1"/>
    <col min="10" max="10" width="17.33203125" style="1" customWidth="1"/>
    <col min="11" max="11" width="14.5" customWidth="1"/>
    <col min="12" max="12" width="18.33203125" customWidth="1"/>
    <col min="13" max="13" width="18.33203125" style="1" customWidth="1"/>
    <col min="14" max="14" width="15.5" customWidth="1"/>
    <col min="16" max="16" width="10.83203125" style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s="44" t="s">
        <v>985</v>
      </c>
      <c r="H1" s="15" t="s">
        <v>165</v>
      </c>
      <c r="I1" s="15" t="s">
        <v>168</v>
      </c>
      <c r="J1" s="15" t="s">
        <v>984</v>
      </c>
      <c r="K1" s="15" t="s">
        <v>169</v>
      </c>
      <c r="L1" s="15" t="s">
        <v>166</v>
      </c>
      <c r="M1" s="15" t="s">
        <v>68</v>
      </c>
      <c r="N1" s="15" t="s">
        <v>167</v>
      </c>
      <c r="O1" s="15" t="s">
        <v>1679</v>
      </c>
      <c r="P1" s="15"/>
      <c r="R1" t="s">
        <v>267</v>
      </c>
      <c r="S1" t="s">
        <v>328</v>
      </c>
    </row>
    <row r="2" spans="1:19" ht="20">
      <c r="A2" s="30" t="s">
        <v>69</v>
      </c>
      <c r="B2" s="31" t="s">
        <v>954</v>
      </c>
      <c r="C2" s="30">
        <v>2018</v>
      </c>
      <c r="D2" s="30" t="s">
        <v>297</v>
      </c>
      <c r="E2" s="30">
        <v>148</v>
      </c>
      <c r="F2" s="30">
        <f>E2/C19 * 1000</f>
        <v>2.0637532420447888</v>
      </c>
      <c r="G2" s="29"/>
      <c r="H2" s="16" t="s">
        <v>969</v>
      </c>
      <c r="I2" s="17">
        <v>23293</v>
      </c>
      <c r="J2" s="80">
        <f>Table32[[#This Row],[BIDEN VOTES]]/C19</f>
        <v>0.32480408288479234</v>
      </c>
      <c r="K2" s="18">
        <v>0.66200000000000003</v>
      </c>
      <c r="L2" s="17">
        <v>11442</v>
      </c>
      <c r="M2" s="80">
        <f>Table32[[#This Row],[TRUMP VOTES]]/C19</f>
        <v>0.15955043645592212</v>
      </c>
      <c r="N2" s="18">
        <v>0.32500000000000001</v>
      </c>
      <c r="O2" s="82">
        <f>1-(Table32[[#This Row],[Column4]]+Table32[[#This Row],[Column1]])</f>
        <v>0.5156454806592855</v>
      </c>
      <c r="P2" s="82"/>
      <c r="Q2" t="s">
        <v>1672</v>
      </c>
      <c r="R2">
        <f>CORREL(F:F,J:J)</f>
        <v>-9.8222676508662732E-2</v>
      </c>
      <c r="S2">
        <v>0.1</v>
      </c>
    </row>
    <row r="3" spans="1:19" ht="20">
      <c r="A3" s="32" t="s">
        <v>69</v>
      </c>
      <c r="B3" s="33" t="s">
        <v>955</v>
      </c>
      <c r="C3" s="32">
        <v>2018</v>
      </c>
      <c r="D3" s="32" t="s">
        <v>297</v>
      </c>
      <c r="E3" s="32">
        <v>931</v>
      </c>
      <c r="F3" s="30">
        <f t="shared" ref="F3:F16" si="0">E3/C20 * 1000</f>
        <v>7.3630597428069793</v>
      </c>
      <c r="G3" s="29"/>
      <c r="H3" s="16" t="s">
        <v>970</v>
      </c>
      <c r="I3" s="17">
        <v>23732</v>
      </c>
      <c r="J3" s="80">
        <f>Table32[[#This Row],[BIDEN VOTES]]/C20</f>
        <v>0.18769079894338905</v>
      </c>
      <c r="K3" s="18">
        <v>0.39300000000000002</v>
      </c>
      <c r="L3" s="17">
        <v>35557</v>
      </c>
      <c r="M3" s="80">
        <f>Table32[[#This Row],[TRUMP VOTES]]/C20</f>
        <v>0.28121193907087833</v>
      </c>
      <c r="N3" s="18">
        <v>0.58799999999999997</v>
      </c>
      <c r="O3" s="82">
        <f>1-(Table32[[#This Row],[Column4]]+Table32[[#This Row],[Column1]])</f>
        <v>0.53109726198573259</v>
      </c>
      <c r="P3" s="82"/>
      <c r="Q3" t="s">
        <v>1671</v>
      </c>
      <c r="R3">
        <f>CORREL(F:F,M:M)</f>
        <v>0.43927147848384179</v>
      </c>
      <c r="S3">
        <v>0.1</v>
      </c>
    </row>
    <row r="4" spans="1:19" ht="20">
      <c r="A4" s="30" t="s">
        <v>69</v>
      </c>
      <c r="B4" s="31" t="s">
        <v>956</v>
      </c>
      <c r="C4" s="30">
        <v>2018</v>
      </c>
      <c r="D4" s="30" t="s">
        <v>297</v>
      </c>
      <c r="E4" s="30">
        <v>736</v>
      </c>
      <c r="F4" s="30">
        <f t="shared" si="0"/>
        <v>5.1738439692381233</v>
      </c>
      <c r="G4" s="29"/>
      <c r="H4" s="16" t="s">
        <v>971</v>
      </c>
      <c r="I4" s="17">
        <v>44698</v>
      </c>
      <c r="J4" s="80">
        <f>Table32[[#This Row],[BIDEN VOTES]]/C21</f>
        <v>0.31421260562093156</v>
      </c>
      <c r="K4" s="18">
        <v>0.61</v>
      </c>
      <c r="L4" s="17">
        <v>27052</v>
      </c>
      <c r="M4" s="80">
        <f>Table32[[#This Row],[TRUMP VOTES]]/C21</f>
        <v>0.19016688458672515</v>
      </c>
      <c r="N4" s="18">
        <v>0.36899999999999999</v>
      </c>
      <c r="O4" s="82">
        <f>1-(Table32[[#This Row],[Column4]]+Table32[[#This Row],[Column1]])</f>
        <v>0.49562050979234329</v>
      </c>
      <c r="P4" s="82"/>
      <c r="Q4" t="s">
        <v>1679</v>
      </c>
      <c r="R4">
        <f>CORREL(F:F,O:O)</f>
        <v>-0.35636491343549515</v>
      </c>
      <c r="S4" s="1">
        <v>0.1</v>
      </c>
    </row>
    <row r="5" spans="1:19" ht="20">
      <c r="A5" s="32" t="s">
        <v>69</v>
      </c>
      <c r="B5" s="33" t="s">
        <v>957</v>
      </c>
      <c r="C5" s="32">
        <v>2018</v>
      </c>
      <c r="D5" s="32" t="s">
        <v>297</v>
      </c>
      <c r="E5" s="32">
        <v>406</v>
      </c>
      <c r="F5" s="30">
        <f t="shared" si="0"/>
        <v>7.5400215429186943</v>
      </c>
      <c r="G5" s="29"/>
      <c r="H5" s="16" t="s">
        <v>972</v>
      </c>
      <c r="I5" s="17">
        <v>8943</v>
      </c>
      <c r="J5" s="80">
        <f>Table32[[#This Row],[BIDEN VOTES]]/C22</f>
        <v>0.16608476024217211</v>
      </c>
      <c r="K5" s="18">
        <v>0.32300000000000001</v>
      </c>
      <c r="L5" s="17">
        <v>18377</v>
      </c>
      <c r="M5" s="80">
        <f>Table32[[#This Row],[TRUMP VOTES]]/C22</f>
        <v>0.34128811796605135</v>
      </c>
      <c r="N5" s="18">
        <v>0.66400000000000003</v>
      </c>
      <c r="O5" s="82">
        <f>1-(Table32[[#This Row],[Column4]]+Table32[[#This Row],[Column1]])</f>
        <v>0.49262712179177659</v>
      </c>
      <c r="P5" s="82"/>
      <c r="S5" s="1"/>
    </row>
    <row r="6" spans="1:19" ht="20">
      <c r="A6" s="30" t="s">
        <v>69</v>
      </c>
      <c r="B6" s="31" t="s">
        <v>958</v>
      </c>
      <c r="C6" s="30">
        <v>2018</v>
      </c>
      <c r="D6" s="30" t="s">
        <v>297</v>
      </c>
      <c r="E6" s="30">
        <v>303</v>
      </c>
      <c r="F6" s="30">
        <f t="shared" si="0"/>
        <v>7.9104010025062657</v>
      </c>
      <c r="G6" s="29"/>
      <c r="H6" s="16" t="s">
        <v>973</v>
      </c>
      <c r="I6" s="17">
        <v>4034</v>
      </c>
      <c r="J6" s="80">
        <f>Table32[[#This Row],[BIDEN VOTES]]/C23</f>
        <v>0.10531537176274018</v>
      </c>
      <c r="K6" s="18">
        <v>0.26900000000000002</v>
      </c>
      <c r="L6" s="17">
        <v>10749</v>
      </c>
      <c r="M6" s="80">
        <f>Table32[[#This Row],[TRUMP VOTES]]/C23</f>
        <v>0.28062343358395991</v>
      </c>
      <c r="N6" s="18">
        <v>0.71699999999999997</v>
      </c>
      <c r="O6" s="82">
        <f>1-(Table32[[#This Row],[Column4]]+Table32[[#This Row],[Column1]])</f>
        <v>0.61406119465329989</v>
      </c>
      <c r="P6" s="82"/>
    </row>
    <row r="7" spans="1:19" ht="20">
      <c r="A7" s="32" t="s">
        <v>69</v>
      </c>
      <c r="B7" s="33" t="s">
        <v>959</v>
      </c>
      <c r="C7" s="32">
        <v>2018</v>
      </c>
      <c r="D7" s="32" t="s">
        <v>297</v>
      </c>
      <c r="E7" s="32">
        <v>0</v>
      </c>
      <c r="F7" s="30">
        <f t="shared" si="0"/>
        <v>0</v>
      </c>
      <c r="G7" s="29"/>
      <c r="H7" s="16" t="s">
        <v>974</v>
      </c>
      <c r="I7" s="17">
        <v>1182</v>
      </c>
      <c r="J7" s="80">
        <f>Table32[[#This Row],[BIDEN VOTES]]/C24</f>
        <v>0.12488114104595879</v>
      </c>
      <c r="K7" s="18">
        <v>0.32100000000000001</v>
      </c>
      <c r="L7" s="17">
        <v>2433</v>
      </c>
      <c r="M7" s="80">
        <f>Table32[[#This Row],[TRUMP VOTES]]/C24</f>
        <v>0.25705229793977813</v>
      </c>
      <c r="N7" s="18">
        <v>0.66</v>
      </c>
      <c r="O7" s="82">
        <f>1-(Table32[[#This Row],[Column4]]+Table32[[#This Row],[Column1]])</f>
        <v>0.61806656101426305</v>
      </c>
      <c r="P7" s="82"/>
    </row>
    <row r="8" spans="1:19" ht="20">
      <c r="A8" s="30" t="s">
        <v>69</v>
      </c>
      <c r="B8" s="31" t="s">
        <v>960</v>
      </c>
      <c r="C8" s="30">
        <v>2018</v>
      </c>
      <c r="D8" s="30" t="s">
        <v>297</v>
      </c>
      <c r="E8" s="30">
        <v>81</v>
      </c>
      <c r="F8" s="30">
        <f t="shared" si="0"/>
        <v>3.8507249821725695</v>
      </c>
      <c r="G8" s="29"/>
      <c r="H8" s="16" t="s">
        <v>975</v>
      </c>
      <c r="I8" s="17">
        <v>2236</v>
      </c>
      <c r="J8" s="80">
        <f>Table32[[#This Row],[BIDEN VOTES]]/C25</f>
        <v>0.10629902543380081</v>
      </c>
      <c r="K8" s="18">
        <v>0.3</v>
      </c>
      <c r="L8" s="17">
        <v>5129</v>
      </c>
      <c r="M8" s="80">
        <f>Table32[[#This Row],[TRUMP VOTES]]/C25</f>
        <v>0.24383170905633467</v>
      </c>
      <c r="N8" s="18">
        <v>0.68799999999999994</v>
      </c>
      <c r="O8" s="82">
        <f>1-(Table32[[#This Row],[Column4]]+Table32[[#This Row],[Column1]])</f>
        <v>0.64986926550986457</v>
      </c>
      <c r="P8" s="82"/>
    </row>
    <row r="9" spans="1:19" ht="20">
      <c r="A9" s="32" t="s">
        <v>69</v>
      </c>
      <c r="B9" s="33" t="s">
        <v>961</v>
      </c>
      <c r="C9" s="32">
        <v>2018</v>
      </c>
      <c r="D9" s="32" t="s">
        <v>297</v>
      </c>
      <c r="E9" s="32">
        <v>28146</v>
      </c>
      <c r="F9" s="30">
        <f t="shared" si="0"/>
        <v>6.3782935877822116</v>
      </c>
      <c r="G9" s="29"/>
      <c r="H9" s="16" t="s">
        <v>976</v>
      </c>
      <c r="I9" s="17">
        <v>1040774</v>
      </c>
      <c r="J9" s="80">
        <f>Table32[[#This Row],[BIDEN VOTES]]/C26</f>
        <v>0.23585454880020051</v>
      </c>
      <c r="K9" s="18">
        <v>0.503</v>
      </c>
      <c r="L9" s="17">
        <v>995665</v>
      </c>
      <c r="M9" s="80">
        <f>Table32[[#This Row],[TRUMP VOTES]]/C26</f>
        <v>0.22563219232143736</v>
      </c>
      <c r="N9" s="18">
        <v>0.48099999999999998</v>
      </c>
      <c r="O9" s="82">
        <f>1-(Table32[[#This Row],[Column4]]+Table32[[#This Row],[Column1]])</f>
        <v>0.5385132588783621</v>
      </c>
      <c r="P9" s="82"/>
    </row>
    <row r="10" spans="1:19" ht="20">
      <c r="A10" s="30" t="s">
        <v>69</v>
      </c>
      <c r="B10" s="31" t="s">
        <v>962</v>
      </c>
      <c r="C10" s="30">
        <v>2018</v>
      </c>
      <c r="D10" s="30" t="s">
        <v>297</v>
      </c>
      <c r="E10" s="30">
        <v>1596</v>
      </c>
      <c r="F10" s="30">
        <f t="shared" si="0"/>
        <v>7.5640527398363968</v>
      </c>
      <c r="G10" s="29"/>
      <c r="H10" s="16" t="s">
        <v>977</v>
      </c>
      <c r="I10" s="17">
        <v>24831</v>
      </c>
      <c r="J10" s="80">
        <f>Table32[[#This Row],[BIDEN VOTES]]/C27</f>
        <v>0.11768357993914634</v>
      </c>
      <c r="K10" s="18">
        <v>0.23699999999999999</v>
      </c>
      <c r="L10" s="17">
        <v>78535</v>
      </c>
      <c r="M10" s="80">
        <f>Table32[[#This Row],[TRUMP VOTES]]/C27</f>
        <v>0.37220731950065877</v>
      </c>
      <c r="N10" s="18">
        <v>0.75</v>
      </c>
      <c r="O10" s="82">
        <f>1-(Table32[[#This Row],[Column4]]+Table32[[#This Row],[Column1]])</f>
        <v>0.51010910056019487</v>
      </c>
      <c r="P10" s="82"/>
    </row>
    <row r="11" spans="1:19" ht="20">
      <c r="A11" s="32" t="s">
        <v>69</v>
      </c>
      <c r="B11" s="33" t="s">
        <v>963</v>
      </c>
      <c r="C11" s="32">
        <v>2018</v>
      </c>
      <c r="D11" s="32" t="s">
        <v>297</v>
      </c>
      <c r="E11" s="32">
        <v>636</v>
      </c>
      <c r="F11" s="30">
        <f t="shared" si="0"/>
        <v>5.7676088908235172</v>
      </c>
      <c r="G11" s="29"/>
      <c r="H11" s="16" t="s">
        <v>978</v>
      </c>
      <c r="I11" s="17">
        <v>23383</v>
      </c>
      <c r="J11" s="80">
        <f>Table32[[#This Row],[BIDEN VOTES]]/C28</f>
        <v>0.21205031241214825</v>
      </c>
      <c r="K11" s="18">
        <v>0.45200000000000001</v>
      </c>
      <c r="L11" s="17">
        <v>27657</v>
      </c>
      <c r="M11" s="80">
        <f>Table32[[#This Row],[TRUMP VOTES]]/C28</f>
        <v>0.25080936964387734</v>
      </c>
      <c r="N11" s="18">
        <v>0.53400000000000003</v>
      </c>
      <c r="O11" s="82">
        <f>1-(Table32[[#This Row],[Column4]]+Table32[[#This Row],[Column1]])</f>
        <v>0.53714031794397443</v>
      </c>
      <c r="P11" s="82"/>
    </row>
    <row r="12" spans="1:19" ht="20">
      <c r="A12" s="30" t="s">
        <v>69</v>
      </c>
      <c r="B12" s="31" t="s">
        <v>964</v>
      </c>
      <c r="C12" s="30">
        <v>2018</v>
      </c>
      <c r="D12" s="30" t="s">
        <v>297</v>
      </c>
      <c r="E12" s="30">
        <v>8653</v>
      </c>
      <c r="F12" s="30">
        <f t="shared" si="0"/>
        <v>8.3324024820987681</v>
      </c>
      <c r="G12" s="29"/>
      <c r="H12" s="16" t="s">
        <v>979</v>
      </c>
      <c r="I12" s="17">
        <v>304981</v>
      </c>
      <c r="J12" s="80">
        <f>Table32[[#This Row],[BIDEN VOTES]]/C29</f>
        <v>0.29368131762313238</v>
      </c>
      <c r="K12" s="18">
        <v>0.58599999999999997</v>
      </c>
      <c r="L12" s="17">
        <v>207758</v>
      </c>
      <c r="M12" s="80">
        <f>Table32[[#This Row],[TRUMP VOTES]]/C29</f>
        <v>0.20006047323192833</v>
      </c>
      <c r="N12" s="18">
        <v>0.39900000000000002</v>
      </c>
      <c r="O12" s="82">
        <f>1-(Table32[[#This Row],[Column4]]+Table32[[#This Row],[Column1]])</f>
        <v>0.50625820914493924</v>
      </c>
      <c r="P12" s="82"/>
    </row>
    <row r="13" spans="1:19" ht="20">
      <c r="A13" s="32" t="s">
        <v>69</v>
      </c>
      <c r="B13" s="33" t="s">
        <v>965</v>
      </c>
      <c r="C13" s="32">
        <v>2018</v>
      </c>
      <c r="D13" s="32" t="s">
        <v>297</v>
      </c>
      <c r="E13" s="32">
        <v>2719</v>
      </c>
      <c r="F13" s="30">
        <f t="shared" si="0"/>
        <v>6.0751766806164103</v>
      </c>
      <c r="G13" s="29"/>
      <c r="H13" s="16" t="s">
        <v>980</v>
      </c>
      <c r="I13" s="17">
        <v>75106</v>
      </c>
      <c r="J13" s="80">
        <f>Table32[[#This Row],[BIDEN VOTES]]/C30</f>
        <v>0.16781251186994339</v>
      </c>
      <c r="K13" s="18">
        <v>0.40600000000000003</v>
      </c>
      <c r="L13" s="17">
        <v>107077</v>
      </c>
      <c r="M13" s="80">
        <f>Table32[[#This Row],[TRUMP VOTES]]/C30</f>
        <v>0.23924666915423443</v>
      </c>
      <c r="N13" s="18">
        <v>0.57899999999999996</v>
      </c>
      <c r="O13" s="82">
        <f>1-(Table32[[#This Row],[Column4]]+Table32[[#This Row],[Column1]])</f>
        <v>0.59294081897582218</v>
      </c>
      <c r="P13" s="82"/>
    </row>
    <row r="14" spans="1:19" ht="20">
      <c r="A14" s="30" t="s">
        <v>69</v>
      </c>
      <c r="B14" s="31" t="s">
        <v>966</v>
      </c>
      <c r="C14" s="30">
        <v>2018</v>
      </c>
      <c r="D14" s="30" t="s">
        <v>297</v>
      </c>
      <c r="E14" s="30">
        <v>152</v>
      </c>
      <c r="F14" s="30">
        <f t="shared" si="0"/>
        <v>3.2622226037687256</v>
      </c>
      <c r="G14" s="29"/>
      <c r="H14" s="16" t="s">
        <v>981</v>
      </c>
      <c r="I14" s="17">
        <v>13138</v>
      </c>
      <c r="J14" s="80">
        <f>Table32[[#This Row],[BIDEN VOTES]]/C31</f>
        <v>0.28196763531785207</v>
      </c>
      <c r="K14" s="18">
        <v>0.67200000000000004</v>
      </c>
      <c r="L14" s="17">
        <v>6194</v>
      </c>
      <c r="M14" s="80">
        <f>Table32[[#This Row],[TRUMP VOTES]]/C31</f>
        <v>0.13293557110357557</v>
      </c>
      <c r="N14" s="18">
        <v>0.317</v>
      </c>
      <c r="O14" s="82">
        <f>1-(Table32[[#This Row],[Column4]]+Table32[[#This Row],[Column1]])</f>
        <v>0.58509679357857236</v>
      </c>
      <c r="P14" s="82"/>
    </row>
    <row r="15" spans="1:19" ht="20">
      <c r="A15" s="32" t="s">
        <v>69</v>
      </c>
      <c r="B15" s="33" t="s">
        <v>967</v>
      </c>
      <c r="C15" s="32">
        <v>2018</v>
      </c>
      <c r="D15" s="32" t="s">
        <v>297</v>
      </c>
      <c r="E15" s="32">
        <v>1396</v>
      </c>
      <c r="F15" s="30">
        <f t="shared" si="0"/>
        <v>6.0069880720838569</v>
      </c>
      <c r="G15" s="29"/>
      <c r="H15" s="16" t="s">
        <v>982</v>
      </c>
      <c r="I15" s="17">
        <v>49602</v>
      </c>
      <c r="J15" s="80">
        <f>Table32[[#This Row],[BIDEN VOTES]]/C32</f>
        <v>0.2134374085612489</v>
      </c>
      <c r="K15" s="18">
        <v>0.34599999999999997</v>
      </c>
      <c r="L15" s="17">
        <v>91527</v>
      </c>
      <c r="M15" s="80">
        <f>Table32[[#This Row],[TRUMP VOTES]]/C32</f>
        <v>0.39384068572608821</v>
      </c>
      <c r="N15" s="18">
        <v>0.63900000000000001</v>
      </c>
      <c r="O15" s="82">
        <f>1-(Table32[[#This Row],[Column4]]+Table32[[#This Row],[Column1]])</f>
        <v>0.39272190571266286</v>
      </c>
      <c r="P15" s="82"/>
    </row>
    <row r="16" spans="1:19" ht="20">
      <c r="A16" s="38" t="s">
        <v>69</v>
      </c>
      <c r="B16" s="39" t="s">
        <v>968</v>
      </c>
      <c r="C16" s="38">
        <v>2018</v>
      </c>
      <c r="D16" s="38" t="s">
        <v>297</v>
      </c>
      <c r="E16" s="38">
        <v>998</v>
      </c>
      <c r="F16" s="30">
        <f t="shared" si="0"/>
        <v>4.7090798420240549</v>
      </c>
      <c r="G16" s="29"/>
      <c r="H16" s="16" t="s">
        <v>983</v>
      </c>
      <c r="I16" s="17">
        <v>32210</v>
      </c>
      <c r="J16" s="80">
        <f>Table32[[#This Row],[BIDEN VOTES]]/C33</f>
        <v>0.15198342856873229</v>
      </c>
      <c r="K16" s="18">
        <v>0.46100000000000002</v>
      </c>
      <c r="L16" s="17">
        <v>36534</v>
      </c>
      <c r="M16" s="80">
        <f>Table32[[#This Row],[TRUMP VOTES]]/C33</f>
        <v>0.17238629553958601</v>
      </c>
      <c r="N16" s="18">
        <v>0.52300000000000002</v>
      </c>
      <c r="O16" s="82">
        <f>1-(Table32[[#This Row],[Column4]]+Table32[[#This Row],[Column1]])</f>
        <v>0.67563027589168168</v>
      </c>
      <c r="P16" s="82"/>
    </row>
    <row r="18" spans="1:4">
      <c r="A18" s="1" t="s">
        <v>68</v>
      </c>
      <c r="B18" s="1" t="s">
        <v>823</v>
      </c>
      <c r="C18" s="1" t="s">
        <v>824</v>
      </c>
      <c r="D18" s="1" t="s">
        <v>984</v>
      </c>
    </row>
    <row r="19" spans="1:4" ht="21">
      <c r="A19" s="52">
        <v>10</v>
      </c>
      <c r="B19" s="53" t="s">
        <v>969</v>
      </c>
      <c r="C19" s="54">
        <v>71714</v>
      </c>
    </row>
    <row r="20" spans="1:4" ht="21">
      <c r="A20" s="52">
        <v>8</v>
      </c>
      <c r="B20" s="53" t="s">
        <v>970</v>
      </c>
      <c r="C20" s="54">
        <v>126442</v>
      </c>
      <c r="D20" s="1"/>
    </row>
    <row r="21" spans="1:4" ht="21">
      <c r="A21" s="52">
        <v>7</v>
      </c>
      <c r="B21" s="53" t="s">
        <v>971</v>
      </c>
      <c r="C21" s="54">
        <v>142254</v>
      </c>
      <c r="D21" s="1"/>
    </row>
    <row r="22" spans="1:4" ht="21">
      <c r="A22" s="52">
        <v>11</v>
      </c>
      <c r="B22" s="53" t="s">
        <v>972</v>
      </c>
      <c r="C22" s="54">
        <v>53846</v>
      </c>
      <c r="D22" s="1"/>
    </row>
    <row r="23" spans="1:4" ht="21">
      <c r="A23" s="52">
        <v>13</v>
      </c>
      <c r="B23" s="53" t="s">
        <v>973</v>
      </c>
      <c r="C23" s="54">
        <v>38304</v>
      </c>
      <c r="D23" s="1"/>
    </row>
    <row r="24" spans="1:4" ht="21">
      <c r="A24" s="52">
        <v>15</v>
      </c>
      <c r="B24" s="53" t="s">
        <v>974</v>
      </c>
      <c r="C24" s="54">
        <v>9465</v>
      </c>
      <c r="D24" s="1"/>
    </row>
    <row r="25" spans="1:4" ht="21">
      <c r="A25" s="52">
        <v>14</v>
      </c>
      <c r="B25" s="53" t="s">
        <v>975</v>
      </c>
      <c r="C25" s="54">
        <v>21035</v>
      </c>
      <c r="D25" s="1"/>
    </row>
    <row r="26" spans="1:4" ht="21">
      <c r="A26" s="52">
        <v>1</v>
      </c>
      <c r="B26" s="53" t="s">
        <v>976</v>
      </c>
      <c r="C26" s="54">
        <v>4412779</v>
      </c>
      <c r="D26" s="1"/>
    </row>
    <row r="27" spans="1:4" ht="21">
      <c r="A27" s="52">
        <v>6</v>
      </c>
      <c r="B27" s="53" t="s">
        <v>977</v>
      </c>
      <c r="C27" s="54">
        <v>210998</v>
      </c>
      <c r="D27" s="1"/>
    </row>
    <row r="28" spans="1:4" ht="21">
      <c r="A28" s="52">
        <v>9</v>
      </c>
      <c r="B28" s="53" t="s">
        <v>978</v>
      </c>
      <c r="C28" s="54">
        <v>110271</v>
      </c>
      <c r="D28" s="1"/>
    </row>
    <row r="29" spans="1:4" ht="21">
      <c r="A29" s="52">
        <v>2</v>
      </c>
      <c r="B29" s="53" t="s">
        <v>979</v>
      </c>
      <c r="C29" s="54">
        <v>1038476</v>
      </c>
      <c r="D29" s="1"/>
    </row>
    <row r="30" spans="1:4" ht="21">
      <c r="A30" s="52">
        <v>3</v>
      </c>
      <c r="B30" s="53" t="s">
        <v>980</v>
      </c>
      <c r="C30" s="54">
        <v>447559</v>
      </c>
      <c r="D30" s="1"/>
    </row>
    <row r="31" spans="1:4" ht="21">
      <c r="A31" s="52">
        <v>12</v>
      </c>
      <c r="B31" s="53" t="s">
        <v>981</v>
      </c>
      <c r="C31" s="54">
        <v>46594</v>
      </c>
      <c r="D31" s="1"/>
    </row>
    <row r="32" spans="1:4" ht="21">
      <c r="A32" s="52">
        <v>4</v>
      </c>
      <c r="B32" s="53" t="s">
        <v>982</v>
      </c>
      <c r="C32" s="54">
        <v>232396</v>
      </c>
      <c r="D32" s="1"/>
    </row>
    <row r="33" spans="1:4" ht="21">
      <c r="A33" s="52">
        <v>5</v>
      </c>
      <c r="B33" s="53" t="s">
        <v>983</v>
      </c>
      <c r="C33" s="54">
        <v>211931</v>
      </c>
      <c r="D33" s="1"/>
    </row>
  </sheetData>
  <hyperlinks>
    <hyperlink ref="B26" r:id="rId1" display="https://www.arizona-demographics.com/maricopa-county-demographics" xr:uid="{35967CF3-53AB-F741-B419-718A5A551136}"/>
    <hyperlink ref="B29" r:id="rId2" display="https://www.arizona-demographics.com/pima-county-demographics" xr:uid="{69118A20-43E2-CE42-8B53-695879AC5DE5}"/>
    <hyperlink ref="B30" r:id="rId3" display="https://www.arizona-demographics.com/pinal-county-demographics" xr:uid="{F08657D8-E979-D24E-92D7-F92992C21C30}"/>
    <hyperlink ref="B32" r:id="rId4" display="https://www.arizona-demographics.com/yavapai-county-demographics" xr:uid="{A6BB7209-254D-3146-8EEE-D8CD5A0797A0}"/>
    <hyperlink ref="B33" r:id="rId5" display="https://www.arizona-demographics.com/yuma-county-demographics" xr:uid="{30B49445-5C1C-1740-B194-A4358EBC7D91}"/>
    <hyperlink ref="B27" r:id="rId6" display="https://www.arizona-demographics.com/mohave-county-demographics" xr:uid="{5988A140-D502-7E49-9392-EEADB280DB2C}"/>
    <hyperlink ref="B21" r:id="rId7" display="https://www.arizona-demographics.com/coconino-county-demographics" xr:uid="{196F7DB4-F33A-3240-8D5F-957251D855D7}"/>
    <hyperlink ref="B20" r:id="rId8" display="https://www.arizona-demographics.com/cochise-county-demographics" xr:uid="{DE37B55D-9D63-2444-8426-6209EDBC2B4C}"/>
    <hyperlink ref="B28" r:id="rId9" display="https://www.arizona-demographics.com/navajo-county-demographics" xr:uid="{B6E3B5B3-EA72-E042-885E-4DDD5CCCC151}"/>
    <hyperlink ref="B19" r:id="rId10" display="https://www.arizona-demographics.com/apache-county-demographics" xr:uid="{EDEAE0C4-9346-504F-9FC5-F7F199270867}"/>
    <hyperlink ref="B22" r:id="rId11" display="https://www.arizona-demographics.com/gila-county-demographics" xr:uid="{27135F19-1C0A-0B47-AF46-1DCD86FDF538}"/>
    <hyperlink ref="B31" r:id="rId12" display="https://www.arizona-demographics.com/santa-cruz-county-demographics" xr:uid="{B781448D-3C7F-2845-A8CA-7DD5F68A4E56}"/>
    <hyperlink ref="B23" r:id="rId13" display="https://www.arizona-demographics.com/graham-county-demographics" xr:uid="{38B815BD-FD69-7342-A528-91F195758FBC}"/>
    <hyperlink ref="B25" r:id="rId14" display="https://www.arizona-demographics.com/la-paz-county-demographics" xr:uid="{896D396E-5E65-2F46-B37F-BFE9A7FAC665}"/>
    <hyperlink ref="B24" r:id="rId15" display="https://www.arizona-demographics.com/greenlee-county-demographics" xr:uid="{7DB507B6-169E-3A4F-8117-4EEBD9EEE3D9}"/>
  </hyperlinks>
  <pageMargins left="0.7" right="0.7" top="0.75" bottom="0.75" header="0.3" footer="0.3"/>
  <tableParts count="2">
    <tablePart r:id="rId16"/>
    <tablePart r:id="rId17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467A-5969-054F-89BA-5EDE74E41560}">
  <dimension ref="A1:S119"/>
  <sheetViews>
    <sheetView topLeftCell="A103" workbookViewId="0">
      <selection activeCell="J22" sqref="J22"/>
    </sheetView>
  </sheetViews>
  <sheetFormatPr baseColWidth="10" defaultRowHeight="16"/>
  <cols>
    <col min="1" max="1" width="13.83203125" customWidth="1"/>
    <col min="2" max="2" width="12.83203125" customWidth="1"/>
    <col min="3" max="3" width="17.33203125" customWidth="1"/>
    <col min="4" max="4" width="12.5" customWidth="1"/>
    <col min="8" max="8" width="12.1640625" customWidth="1"/>
    <col min="9" max="9" width="17.33203125" customWidth="1"/>
    <col min="10" max="10" width="12" style="58" customWidth="1"/>
    <col min="11" max="11" width="14.5" customWidth="1"/>
    <col min="12" max="12" width="18.33203125" customWidth="1"/>
    <col min="13" max="13" width="18.33203125" style="21" customWidth="1"/>
    <col min="14" max="14" width="15.5" customWidth="1"/>
    <col min="16" max="16" width="10.83203125" style="1"/>
  </cols>
  <sheetData>
    <row r="1" spans="1:19" ht="17">
      <c r="A1" s="22" t="s">
        <v>63</v>
      </c>
      <c r="B1" s="22" t="s">
        <v>64</v>
      </c>
      <c r="C1" s="22" t="s">
        <v>65</v>
      </c>
      <c r="D1" s="22" t="s">
        <v>66</v>
      </c>
      <c r="E1" s="22" t="s">
        <v>67</v>
      </c>
      <c r="F1" s="22" t="s">
        <v>68</v>
      </c>
      <c r="H1" s="15" t="s">
        <v>165</v>
      </c>
      <c r="I1" s="15" t="s">
        <v>168</v>
      </c>
      <c r="J1" s="57" t="s">
        <v>887</v>
      </c>
      <c r="K1" s="15" t="s">
        <v>169</v>
      </c>
      <c r="L1" s="15" t="s">
        <v>166</v>
      </c>
      <c r="M1" s="55" t="s">
        <v>888</v>
      </c>
      <c r="N1" s="15" t="s">
        <v>167</v>
      </c>
      <c r="O1" s="15" t="s">
        <v>62</v>
      </c>
      <c r="R1" t="s">
        <v>267</v>
      </c>
      <c r="S1" t="s">
        <v>328</v>
      </c>
    </row>
    <row r="2" spans="1:19" ht="20">
      <c r="A2" s="30" t="s">
        <v>69</v>
      </c>
      <c r="B2" s="31" t="s">
        <v>1041</v>
      </c>
      <c r="C2" s="30">
        <v>2015</v>
      </c>
      <c r="D2" s="30" t="s">
        <v>803</v>
      </c>
      <c r="E2" s="30">
        <v>2.8</v>
      </c>
      <c r="F2" s="63">
        <f t="shared" ref="F2:F33" si="0">(E2-MIN(E:E))/(MAX(E:E)-MIN(E:E))</f>
        <v>1.2539184952978054E-2</v>
      </c>
      <c r="H2" s="16" t="s">
        <v>987</v>
      </c>
      <c r="I2" s="17">
        <v>617659</v>
      </c>
      <c r="J2" s="58">
        <f>Table5[[#This Row],[BIDEN VOTES]]/C62</f>
        <v>0.37172902483413417</v>
      </c>
      <c r="K2" s="18">
        <v>0.80200000000000005</v>
      </c>
      <c r="L2" s="17">
        <v>136309</v>
      </c>
      <c r="M2" s="58">
        <f>Table5[[#This Row],[TRUMP VOTES]]/C62</f>
        <v>8.2035575691629198E-2</v>
      </c>
      <c r="N2" s="18">
        <v>0.17699999999999999</v>
      </c>
      <c r="O2" s="65">
        <f>1-(Table5[[#This Row],[B Normal]]+Table5[[#This Row],[T Normal]])</f>
        <v>0.5462353994742366</v>
      </c>
      <c r="Q2" t="s">
        <v>326</v>
      </c>
      <c r="R2">
        <f>CORREL(F:F,J:J)</f>
        <v>-0.38124956573828261</v>
      </c>
      <c r="S2">
        <v>0.01</v>
      </c>
    </row>
    <row r="3" spans="1:19" ht="20">
      <c r="A3" s="32" t="s">
        <v>69</v>
      </c>
      <c r="B3" s="33" t="s">
        <v>1042</v>
      </c>
      <c r="C3" s="32">
        <v>2015</v>
      </c>
      <c r="D3" s="32" t="s">
        <v>803</v>
      </c>
      <c r="E3" s="32">
        <v>20.7</v>
      </c>
      <c r="F3" s="14">
        <f t="shared" si="0"/>
        <v>0.57366771159874608</v>
      </c>
      <c r="H3" s="16" t="s">
        <v>988</v>
      </c>
      <c r="I3" s="19">
        <v>476</v>
      </c>
      <c r="J3" s="57">
        <f>Table5[[#This Row],[BIDEN VOTES]]/C63</f>
        <v>0.41069887834339946</v>
      </c>
      <c r="K3" s="18">
        <v>0.64200000000000002</v>
      </c>
      <c r="L3" s="19">
        <v>244</v>
      </c>
      <c r="M3" s="56">
        <f>Table5[[#This Row],[TRUMP VOTES]]/C63</f>
        <v>0.21052631578947367</v>
      </c>
      <c r="N3" s="18">
        <v>0.32900000000000001</v>
      </c>
      <c r="O3" s="65">
        <f>1-(Table5[[#This Row],[B Normal]]+Table5[[#This Row],[T Normal]])</f>
        <v>0.37877480586712686</v>
      </c>
      <c r="Q3" t="s">
        <v>325</v>
      </c>
      <c r="R3">
        <f>CORREL(F:F,M:M)</f>
        <v>0.475066787712074</v>
      </c>
      <c r="S3">
        <v>0.01</v>
      </c>
    </row>
    <row r="4" spans="1:19" ht="20">
      <c r="A4" s="30" t="s">
        <v>69</v>
      </c>
      <c r="B4" s="31" t="s">
        <v>1043</v>
      </c>
      <c r="C4" s="30">
        <v>2015</v>
      </c>
      <c r="D4" s="30" t="s">
        <v>803</v>
      </c>
      <c r="E4" s="30">
        <v>18.5</v>
      </c>
      <c r="F4" s="14">
        <f t="shared" si="0"/>
        <v>0.50470219435736685</v>
      </c>
      <c r="H4" s="16" t="s">
        <v>989</v>
      </c>
      <c r="I4" s="17">
        <v>8153</v>
      </c>
      <c r="J4" s="57">
        <f>Table5[[#This Row],[BIDEN VOTES]]/C64</f>
        <v>0.20892806806242473</v>
      </c>
      <c r="K4" s="18">
        <v>0.36599999999999999</v>
      </c>
      <c r="L4" s="17">
        <v>13585</v>
      </c>
      <c r="M4" s="56">
        <f>Table5[[#This Row],[TRUMP VOTES]]/C64</f>
        <v>0.34812802706096407</v>
      </c>
      <c r="N4" s="18">
        <v>0.60899999999999999</v>
      </c>
      <c r="O4" s="65">
        <f>1-(Table5[[#This Row],[B Normal]]+Table5[[#This Row],[T Normal]])</f>
        <v>0.44294390487661117</v>
      </c>
      <c r="Q4" t="s">
        <v>822</v>
      </c>
      <c r="R4" s="37">
        <f>CORREL(F:F,O:O)</f>
        <v>-6.2562723549284827E-2</v>
      </c>
      <c r="S4">
        <v>0.1</v>
      </c>
    </row>
    <row r="5" spans="1:19" ht="20">
      <c r="A5" s="32" t="s">
        <v>69</v>
      </c>
      <c r="B5" s="33" t="s">
        <v>1044</v>
      </c>
      <c r="C5" s="32">
        <v>2015</v>
      </c>
      <c r="D5" s="32" t="s">
        <v>803</v>
      </c>
      <c r="E5" s="32">
        <v>10.4</v>
      </c>
      <c r="F5" s="14">
        <f t="shared" si="0"/>
        <v>0.25078369905956116</v>
      </c>
      <c r="H5" s="16" t="s">
        <v>990</v>
      </c>
      <c r="I5" s="17">
        <v>50426</v>
      </c>
      <c r="J5" s="57">
        <f>Table5[[#This Row],[BIDEN VOTES]]/C65</f>
        <v>0.2257772763091912</v>
      </c>
      <c r="K5" s="18">
        <v>0.49399999999999999</v>
      </c>
      <c r="L5" s="17">
        <v>48730</v>
      </c>
      <c r="M5" s="56">
        <f>Table5[[#This Row],[TRUMP VOTES]]/C65</f>
        <v>0.21818360914105595</v>
      </c>
      <c r="N5" s="18">
        <v>0.47799999999999998</v>
      </c>
      <c r="O5" s="65">
        <f>1-(Table5[[#This Row],[B Normal]]+Table5[[#This Row],[T Normal]])</f>
        <v>0.55603911454975286</v>
      </c>
    </row>
    <row r="6" spans="1:19" ht="20">
      <c r="A6" s="30" t="s">
        <v>69</v>
      </c>
      <c r="B6" s="31" t="s">
        <v>1045</v>
      </c>
      <c r="C6" s="30">
        <v>2015</v>
      </c>
      <c r="D6" s="30" t="s">
        <v>803</v>
      </c>
      <c r="E6" s="30">
        <v>14.6</v>
      </c>
      <c r="F6" s="14">
        <f t="shared" si="0"/>
        <v>0.38244514106583072</v>
      </c>
      <c r="H6" s="16" t="s">
        <v>991</v>
      </c>
      <c r="I6" s="17">
        <v>10046</v>
      </c>
      <c r="J6" s="57">
        <f>Table5[[#This Row],[BIDEN VOTES]]/C66</f>
        <v>0.2192109627302086</v>
      </c>
      <c r="K6" s="18">
        <v>0.37</v>
      </c>
      <c r="L6" s="17">
        <v>16518</v>
      </c>
      <c r="M6" s="56">
        <f>Table5[[#This Row],[TRUMP VOTES]]/C66</f>
        <v>0.36043466876145586</v>
      </c>
      <c r="N6" s="18">
        <v>0.60799999999999998</v>
      </c>
      <c r="O6" s="65">
        <f>1-(Table5[[#This Row],[B Normal]]+Table5[[#This Row],[T Normal]])</f>
        <v>0.42035436850833552</v>
      </c>
    </row>
    <row r="7" spans="1:19" ht="20">
      <c r="A7" s="32" t="s">
        <v>69</v>
      </c>
      <c r="B7" s="33" t="s">
        <v>1046</v>
      </c>
      <c r="C7" s="32">
        <v>2015</v>
      </c>
      <c r="D7" s="32" t="s">
        <v>803</v>
      </c>
      <c r="E7" s="32">
        <v>9.1</v>
      </c>
      <c r="F7" s="14">
        <f t="shared" si="0"/>
        <v>0.21003134796238243</v>
      </c>
      <c r="H7" s="16" t="s">
        <v>992</v>
      </c>
      <c r="I7" s="17">
        <v>3239</v>
      </c>
      <c r="J7" s="57">
        <f>Table5[[#This Row],[BIDEN VOTES]]/C67</f>
        <v>0.15071425247778139</v>
      </c>
      <c r="K7" s="18">
        <v>0.40699999999999997</v>
      </c>
      <c r="L7" s="17">
        <v>4559</v>
      </c>
      <c r="M7" s="56">
        <f>Table5[[#This Row],[TRUMP VOTES]]/C67</f>
        <v>0.2121353124563771</v>
      </c>
      <c r="N7" s="18">
        <v>0.57299999999999995</v>
      </c>
      <c r="O7" s="65">
        <f>1-(Table5[[#This Row],[B Normal]]+Table5[[#This Row],[T Normal]])</f>
        <v>0.63715043506584146</v>
      </c>
    </row>
    <row r="8" spans="1:19" ht="20">
      <c r="A8" s="30" t="s">
        <v>69</v>
      </c>
      <c r="B8" s="31" t="s">
        <v>1047</v>
      </c>
      <c r="C8" s="30">
        <v>2015</v>
      </c>
      <c r="D8" s="30" t="s">
        <v>803</v>
      </c>
      <c r="E8" s="30">
        <v>4.5</v>
      </c>
      <c r="F8" s="14">
        <f t="shared" si="0"/>
        <v>6.5830721003134807E-2</v>
      </c>
      <c r="H8" s="16" t="s">
        <v>993</v>
      </c>
      <c r="I8" s="17">
        <v>416386</v>
      </c>
      <c r="J8" s="57">
        <f>Table5[[#This Row],[BIDEN VOTES]]/C68</f>
        <v>0.36277256775641492</v>
      </c>
      <c r="K8" s="18">
        <v>0.71599999999999997</v>
      </c>
      <c r="L8" s="17">
        <v>152877</v>
      </c>
      <c r="M8" s="56">
        <f>Table5[[#This Row],[TRUMP VOTES]]/C68</f>
        <v>0.13319271503099875</v>
      </c>
      <c r="N8" s="18">
        <v>0.26300000000000001</v>
      </c>
      <c r="O8" s="65">
        <f>1-(Table5[[#This Row],[B Normal]]+Table5[[#This Row],[T Normal]])</f>
        <v>0.5040347172125863</v>
      </c>
    </row>
    <row r="9" spans="1:19" ht="20">
      <c r="A9" s="32" t="s">
        <v>69</v>
      </c>
      <c r="B9" s="33" t="s">
        <v>1048</v>
      </c>
      <c r="C9" s="32">
        <v>2015</v>
      </c>
      <c r="D9" s="32" t="s">
        <v>803</v>
      </c>
      <c r="E9" s="32">
        <v>22.8</v>
      </c>
      <c r="F9" s="14">
        <f t="shared" si="0"/>
        <v>0.639498432601881</v>
      </c>
      <c r="H9" s="16" t="s">
        <v>994</v>
      </c>
      <c r="I9" s="17">
        <v>4677</v>
      </c>
      <c r="J9" s="57">
        <f>Table5[[#This Row],[BIDEN VOTES]]/C69</f>
        <v>0.16889354326159178</v>
      </c>
      <c r="K9" s="18">
        <v>0.40799999999999997</v>
      </c>
      <c r="L9" s="17">
        <v>6461</v>
      </c>
      <c r="M9" s="56">
        <f>Table5[[#This Row],[TRUMP VOTES]]/C69</f>
        <v>0.2333164812942366</v>
      </c>
      <c r="N9" s="18">
        <v>0.56399999999999995</v>
      </c>
      <c r="O9" s="65">
        <f>1-(Table5[[#This Row],[B Normal]]+Table5[[#This Row],[T Normal]])</f>
        <v>0.59778997544417156</v>
      </c>
    </row>
    <row r="10" spans="1:19" ht="20">
      <c r="A10" s="30" t="s">
        <v>69</v>
      </c>
      <c r="B10" s="31" t="s">
        <v>1049</v>
      </c>
      <c r="C10" s="30">
        <v>2015</v>
      </c>
      <c r="D10" s="30" t="s">
        <v>803</v>
      </c>
      <c r="E10" s="30">
        <v>7.3</v>
      </c>
      <c r="F10" s="14">
        <f t="shared" si="0"/>
        <v>0.15360501567398122</v>
      </c>
      <c r="H10" s="16" t="s">
        <v>995</v>
      </c>
      <c r="I10" s="17">
        <v>51621</v>
      </c>
      <c r="J10" s="57">
        <f>Table5[[#This Row],[BIDEN VOTES]]/C70</f>
        <v>0.27119703695920566</v>
      </c>
      <c r="K10" s="18">
        <v>0.44400000000000001</v>
      </c>
      <c r="L10" s="17">
        <v>61838</v>
      </c>
      <c r="M10" s="56">
        <f>Table5[[#This Row],[TRUMP VOTES]]/C70</f>
        <v>0.32487325645538362</v>
      </c>
      <c r="N10" s="18">
        <v>0.53200000000000003</v>
      </c>
      <c r="O10" s="65">
        <f>1-(Table5[[#This Row],[B Normal]]+Table5[[#This Row],[T Normal]])</f>
        <v>0.40392970658541072</v>
      </c>
    </row>
    <row r="11" spans="1:19" ht="20">
      <c r="A11" s="32" t="s">
        <v>69</v>
      </c>
      <c r="B11" s="33" t="s">
        <v>1050</v>
      </c>
      <c r="C11" s="32">
        <v>2015</v>
      </c>
      <c r="D11" s="32" t="s">
        <v>803</v>
      </c>
      <c r="E11" s="32">
        <v>8.6</v>
      </c>
      <c r="F11" s="14">
        <f t="shared" si="0"/>
        <v>0.19435736677115986</v>
      </c>
      <c r="H11" s="16" t="s">
        <v>996</v>
      </c>
      <c r="I11" s="17">
        <v>193025</v>
      </c>
      <c r="J11" s="57">
        <f>Table5[[#This Row],[BIDEN VOTES]]/C71</f>
        <v>0.19493457913722828</v>
      </c>
      <c r="K11" s="18">
        <v>0.52900000000000003</v>
      </c>
      <c r="L11" s="17">
        <v>164464</v>
      </c>
      <c r="M11" s="56">
        <f>Table5[[#This Row],[TRUMP VOTES]]/C71</f>
        <v>0.1660910277074219</v>
      </c>
      <c r="N11" s="18">
        <v>0.45100000000000001</v>
      </c>
      <c r="O11" s="65">
        <f>1-(Table5[[#This Row],[B Normal]]+Table5[[#This Row],[T Normal]])</f>
        <v>0.63897439315534976</v>
      </c>
    </row>
    <row r="12" spans="1:19" ht="20">
      <c r="A12" s="30" t="s">
        <v>69</v>
      </c>
      <c r="B12" s="31" t="s">
        <v>1051</v>
      </c>
      <c r="C12" s="30">
        <v>2015</v>
      </c>
      <c r="D12" s="30" t="s">
        <v>803</v>
      </c>
      <c r="E12" s="30">
        <v>9.9</v>
      </c>
      <c r="F12" s="14">
        <f t="shared" si="0"/>
        <v>0.23510971786833856</v>
      </c>
      <c r="H12" s="16" t="s">
        <v>997</v>
      </c>
      <c r="I12" s="17">
        <v>3995</v>
      </c>
      <c r="J12" s="57">
        <f>Table5[[#This Row],[BIDEN VOTES]]/C72</f>
        <v>0.14237348538845332</v>
      </c>
      <c r="K12" s="18">
        <v>0.35399999999999998</v>
      </c>
      <c r="L12" s="17">
        <v>7063</v>
      </c>
      <c r="M12" s="56">
        <f>Table5[[#This Row],[TRUMP VOTES]]/C72</f>
        <v>0.25171062009978618</v>
      </c>
      <c r="N12" s="18">
        <v>0.625</v>
      </c>
      <c r="O12" s="65">
        <f>1-(Table5[[#This Row],[B Normal]]+Table5[[#This Row],[T Normal]])</f>
        <v>0.60591589451176053</v>
      </c>
    </row>
    <row r="13" spans="1:19" ht="20">
      <c r="A13" s="32" t="s">
        <v>69</v>
      </c>
      <c r="B13" s="33" t="s">
        <v>1052</v>
      </c>
      <c r="C13" s="32">
        <v>2015</v>
      </c>
      <c r="D13" s="32" t="s">
        <v>803</v>
      </c>
      <c r="E13" s="32">
        <v>10.6</v>
      </c>
      <c r="F13" s="14">
        <f t="shared" si="0"/>
        <v>0.25705329153605017</v>
      </c>
      <c r="H13" s="16" t="s">
        <v>998</v>
      </c>
      <c r="I13" s="17">
        <v>44768</v>
      </c>
      <c r="J13" s="57">
        <f>Table5[[#This Row],[BIDEN VOTES]]/C73</f>
        <v>0.32893219006473134</v>
      </c>
      <c r="K13" s="18">
        <v>0.65</v>
      </c>
      <c r="L13" s="17">
        <v>21770</v>
      </c>
      <c r="M13" s="56">
        <f>Table5[[#This Row],[TRUMP VOTES]]/C73</f>
        <v>0.15995473949493391</v>
      </c>
      <c r="N13" s="18">
        <v>0.316</v>
      </c>
      <c r="O13" s="65">
        <f>1-(Table5[[#This Row],[B Normal]]+Table5[[#This Row],[T Normal]])</f>
        <v>0.51111307044033472</v>
      </c>
    </row>
    <row r="14" spans="1:19" ht="20">
      <c r="A14" s="30" t="s">
        <v>69</v>
      </c>
      <c r="B14" s="31" t="s">
        <v>1053</v>
      </c>
      <c r="C14" s="30">
        <v>2015</v>
      </c>
      <c r="D14" s="30" t="s">
        <v>803</v>
      </c>
      <c r="E14" s="30">
        <v>8.9</v>
      </c>
      <c r="F14" s="14">
        <f t="shared" si="0"/>
        <v>0.20376175548589343</v>
      </c>
      <c r="H14" s="16" t="s">
        <v>999</v>
      </c>
      <c r="I14" s="17">
        <v>34678</v>
      </c>
      <c r="J14" s="57">
        <f>Table5[[#This Row],[BIDEN VOTES]]/C74</f>
        <v>0.19203677040646805</v>
      </c>
      <c r="K14" s="18">
        <v>0.61099999999999999</v>
      </c>
      <c r="L14" s="17">
        <v>20847</v>
      </c>
      <c r="M14" s="56">
        <f>Table5[[#This Row],[TRUMP VOTES]]/C74</f>
        <v>0.1154446782589434</v>
      </c>
      <c r="N14" s="18">
        <v>0.36799999999999999</v>
      </c>
      <c r="O14" s="65">
        <f>1-(Table5[[#This Row],[B Normal]]+Table5[[#This Row],[T Normal]])</f>
        <v>0.69251855133458862</v>
      </c>
    </row>
    <row r="15" spans="1:19" ht="20">
      <c r="A15" s="32" t="s">
        <v>69</v>
      </c>
      <c r="B15" s="33" t="s">
        <v>1054</v>
      </c>
      <c r="C15" s="32">
        <v>2015</v>
      </c>
      <c r="D15" s="32" t="s">
        <v>803</v>
      </c>
      <c r="E15" s="32">
        <v>3.2</v>
      </c>
      <c r="F15" s="14">
        <f t="shared" si="0"/>
        <v>2.5078369905956122E-2</v>
      </c>
      <c r="H15" s="16" t="s">
        <v>1000</v>
      </c>
      <c r="I15" s="17">
        <v>4634</v>
      </c>
      <c r="J15" s="57">
        <f>Table5[[#This Row],[BIDEN VOTES]]/C75</f>
        <v>0.25844952593418852</v>
      </c>
      <c r="K15" s="18">
        <v>0.48899999999999999</v>
      </c>
      <c r="L15" s="17">
        <v>4620</v>
      </c>
      <c r="M15" s="56">
        <f>Table5[[#This Row],[TRUMP VOTES]]/C75</f>
        <v>0.25766871165644173</v>
      </c>
      <c r="N15" s="18">
        <v>0.48699999999999999</v>
      </c>
      <c r="O15" s="65">
        <f>1-(Table5[[#This Row],[B Normal]]+Table5[[#This Row],[T Normal]])</f>
        <v>0.48388176240936975</v>
      </c>
    </row>
    <row r="16" spans="1:19" ht="20">
      <c r="A16" s="30" t="s">
        <v>69</v>
      </c>
      <c r="B16" s="31" t="s">
        <v>1055</v>
      </c>
      <c r="C16" s="30">
        <v>2015</v>
      </c>
      <c r="D16" s="30" t="s">
        <v>803</v>
      </c>
      <c r="E16" s="30">
        <v>14.4</v>
      </c>
      <c r="F16" s="14">
        <f t="shared" si="0"/>
        <v>0.37617554858934171</v>
      </c>
      <c r="H16" s="16" t="s">
        <v>1001</v>
      </c>
      <c r="I16" s="17">
        <v>133366</v>
      </c>
      <c r="J16" s="57">
        <f>Table5[[#This Row],[BIDEN VOTES]]/C76</f>
        <v>0.14943672419318332</v>
      </c>
      <c r="K16" s="18">
        <v>0.437</v>
      </c>
      <c r="L16" s="17">
        <v>164484</v>
      </c>
      <c r="M16" s="56">
        <f>Table5[[#This Row],[TRUMP VOTES]]/C76</f>
        <v>0.18430447147092635</v>
      </c>
      <c r="N16" s="18">
        <v>0.53900000000000003</v>
      </c>
      <c r="O16" s="65">
        <f>1-(Table5[[#This Row],[B Normal]]+Table5[[#This Row],[T Normal]])</f>
        <v>0.66625880433589035</v>
      </c>
    </row>
    <row r="17" spans="1:15" ht="20">
      <c r="A17" s="32" t="s">
        <v>69</v>
      </c>
      <c r="B17" s="33" t="s">
        <v>1056</v>
      </c>
      <c r="C17" s="32">
        <v>2015</v>
      </c>
      <c r="D17" s="32" t="s">
        <v>803</v>
      </c>
      <c r="E17" s="32">
        <v>12.3</v>
      </c>
      <c r="F17" s="14">
        <f t="shared" si="0"/>
        <v>0.31034482758620691</v>
      </c>
      <c r="H17" s="16" t="s">
        <v>1002</v>
      </c>
      <c r="I17" s="17">
        <v>18699</v>
      </c>
      <c r="J17" s="57">
        <f>Table5[[#This Row],[BIDEN VOTES]]/C77</f>
        <v>0.12376067244688596</v>
      </c>
      <c r="K17" s="18">
        <v>0.42599999999999999</v>
      </c>
      <c r="L17" s="17">
        <v>24072</v>
      </c>
      <c r="M17" s="56">
        <f>Table5[[#This Row],[TRUMP VOTES]]/C77</f>
        <v>0.15932225825666821</v>
      </c>
      <c r="N17" s="18">
        <v>0.54900000000000004</v>
      </c>
      <c r="O17" s="65">
        <f>1-(Table5[[#This Row],[B Normal]]+Table5[[#This Row],[T Normal]])</f>
        <v>0.71691706929644583</v>
      </c>
    </row>
    <row r="18" spans="1:15" ht="20">
      <c r="A18" s="30" t="s">
        <v>69</v>
      </c>
      <c r="B18" s="31" t="s">
        <v>118</v>
      </c>
      <c r="C18" s="30">
        <v>2015</v>
      </c>
      <c r="D18" s="30" t="s">
        <v>803</v>
      </c>
      <c r="E18" s="30">
        <v>6.6</v>
      </c>
      <c r="F18" s="14">
        <f t="shared" si="0"/>
        <v>0.13166144200626959</v>
      </c>
      <c r="H18" s="16" t="s">
        <v>217</v>
      </c>
      <c r="I18" s="17">
        <v>14941</v>
      </c>
      <c r="J18" s="57">
        <f>Table5[[#This Row],[BIDEN VOTES]]/C78</f>
        <v>0.23245068143630593</v>
      </c>
      <c r="K18" s="18">
        <v>0.51900000000000002</v>
      </c>
      <c r="L18" s="17">
        <v>13123</v>
      </c>
      <c r="M18" s="56">
        <f>Table5[[#This Row],[TRUMP VOTES]]/C78</f>
        <v>0.20416640736822453</v>
      </c>
      <c r="N18" s="18">
        <v>0.45600000000000002</v>
      </c>
      <c r="O18" s="65">
        <f>1-(Table5[[#This Row],[B Normal]]+Table5[[#This Row],[T Normal]])</f>
        <v>0.56338291119546957</v>
      </c>
    </row>
    <row r="19" spans="1:15" ht="20">
      <c r="A19" s="32" t="s">
        <v>69</v>
      </c>
      <c r="B19" s="33" t="s">
        <v>1057</v>
      </c>
      <c r="C19" s="32">
        <v>2015</v>
      </c>
      <c r="D19" s="32" t="s">
        <v>803</v>
      </c>
      <c r="E19" s="32">
        <v>18.2</v>
      </c>
      <c r="F19" s="14">
        <f t="shared" si="0"/>
        <v>0.4952978056426332</v>
      </c>
      <c r="H19" s="16" t="s">
        <v>1003</v>
      </c>
      <c r="I19" s="17">
        <v>2799</v>
      </c>
      <c r="J19" s="57">
        <f>Table5[[#This Row],[BIDEN VOTES]]/C79</f>
        <v>9.1470588235294123E-2</v>
      </c>
      <c r="K19" s="18">
        <v>0.23400000000000001</v>
      </c>
      <c r="L19" s="17">
        <v>8970</v>
      </c>
      <c r="M19" s="56">
        <f>Table5[[#This Row],[TRUMP VOTES]]/C79</f>
        <v>0.2931372549019608</v>
      </c>
      <c r="N19" s="18">
        <v>0.748</v>
      </c>
      <c r="O19" s="65">
        <f>1-(Table5[[#This Row],[B Normal]]+Table5[[#This Row],[T Normal]])</f>
        <v>0.61539215686274507</v>
      </c>
    </row>
    <row r="20" spans="1:15" ht="20">
      <c r="A20" s="30" t="s">
        <v>69</v>
      </c>
      <c r="B20" s="31" t="s">
        <v>1058</v>
      </c>
      <c r="C20" s="30">
        <v>2015</v>
      </c>
      <c r="D20" s="30" t="s">
        <v>803</v>
      </c>
      <c r="E20" s="30">
        <v>10.5</v>
      </c>
      <c r="F20" s="14">
        <f t="shared" si="0"/>
        <v>0.25391849529780564</v>
      </c>
      <c r="H20" s="16" t="s">
        <v>1004</v>
      </c>
      <c r="I20" s="17">
        <v>3028885</v>
      </c>
      <c r="J20" s="57">
        <f>Table5[[#This Row],[BIDEN VOTES]]/C80</f>
        <v>0.30166128157429944</v>
      </c>
      <c r="K20" s="18">
        <v>0.71</v>
      </c>
      <c r="L20" s="17">
        <v>1145530</v>
      </c>
      <c r="M20" s="56">
        <f>Table5[[#This Row],[TRUMP VOTES]]/C80</f>
        <v>0.11408886368475767</v>
      </c>
      <c r="N20" s="18">
        <v>0.26900000000000002</v>
      </c>
      <c r="O20" s="65">
        <f>1-(Table5[[#This Row],[B Normal]]+Table5[[#This Row],[T Normal]])</f>
        <v>0.58424985474094293</v>
      </c>
    </row>
    <row r="21" spans="1:15" ht="20">
      <c r="A21" s="32" t="s">
        <v>69</v>
      </c>
      <c r="B21" s="33" t="s">
        <v>1059</v>
      </c>
      <c r="C21" s="32">
        <v>2015</v>
      </c>
      <c r="D21" s="32" t="s">
        <v>803</v>
      </c>
      <c r="E21" s="32">
        <v>9</v>
      </c>
      <c r="F21" s="14">
        <f t="shared" si="0"/>
        <v>0.20689655172413793</v>
      </c>
      <c r="H21" s="16" t="s">
        <v>1005</v>
      </c>
      <c r="I21" s="17">
        <v>23168</v>
      </c>
      <c r="J21" s="57">
        <f>Table5[[#This Row],[BIDEN VOTES]]/C81</f>
        <v>0.14858425525092192</v>
      </c>
      <c r="K21" s="18">
        <v>0.43099999999999999</v>
      </c>
      <c r="L21" s="17">
        <v>29378</v>
      </c>
      <c r="M21" s="56">
        <f>Table5[[#This Row],[TRUMP VOTES]]/C81</f>
        <v>0.18841109507776174</v>
      </c>
      <c r="N21" s="18">
        <v>0.54700000000000004</v>
      </c>
      <c r="O21" s="65">
        <f>1-(Table5[[#This Row],[B Normal]]+Table5[[#This Row],[T Normal]])</f>
        <v>0.66300464967131634</v>
      </c>
    </row>
    <row r="22" spans="1:15" ht="20">
      <c r="A22" s="30" t="s">
        <v>69</v>
      </c>
      <c r="B22" s="31" t="s">
        <v>1060</v>
      </c>
      <c r="C22" s="30">
        <v>2015</v>
      </c>
      <c r="D22" s="30" t="s">
        <v>803</v>
      </c>
      <c r="E22" s="30">
        <v>3.4</v>
      </c>
      <c r="F22" s="14">
        <f t="shared" si="0"/>
        <v>3.1347962382445145E-2</v>
      </c>
      <c r="H22" s="16" t="s">
        <v>1006</v>
      </c>
      <c r="I22" s="17">
        <v>128288</v>
      </c>
      <c r="J22" s="57">
        <f>Table5[[#This Row],[BIDEN VOTES]]/C82</f>
        <v>0.49447851341923599</v>
      </c>
      <c r="K22" s="18">
        <v>0.82299999999999995</v>
      </c>
      <c r="L22" s="17">
        <v>24612</v>
      </c>
      <c r="M22" s="56">
        <f>Table5[[#This Row],[TRUMP VOTES]]/C82</f>
        <v>9.4865499285001209E-2</v>
      </c>
      <c r="N22" s="18">
        <v>0.158</v>
      </c>
      <c r="O22" s="65">
        <f>1-(Table5[[#This Row],[B Normal]]+Table5[[#This Row],[T Normal]])</f>
        <v>0.4106559872957628</v>
      </c>
    </row>
    <row r="23" spans="1:15" ht="20">
      <c r="A23" s="32" t="s">
        <v>69</v>
      </c>
      <c r="B23" s="33" t="s">
        <v>1061</v>
      </c>
      <c r="C23" s="32">
        <v>2015</v>
      </c>
      <c r="D23" s="32" t="s">
        <v>803</v>
      </c>
      <c r="E23" s="32">
        <v>10.7</v>
      </c>
      <c r="F23" s="14">
        <f t="shared" si="0"/>
        <v>0.26018808777429464</v>
      </c>
      <c r="H23" s="16" t="s">
        <v>1007</v>
      </c>
      <c r="I23" s="17">
        <v>4088</v>
      </c>
      <c r="J23" s="57">
        <f>Table5[[#This Row],[BIDEN VOTES]]/C83</f>
        <v>0.23604134187886136</v>
      </c>
      <c r="K23" s="18">
        <v>0.39800000000000002</v>
      </c>
      <c r="L23" s="17">
        <v>5950</v>
      </c>
      <c r="M23" s="56">
        <f>Table5[[#This Row],[TRUMP VOTES]]/C83</f>
        <v>0.34355332294012358</v>
      </c>
      <c r="N23" s="18">
        <v>0.57899999999999996</v>
      </c>
      <c r="O23" s="65">
        <f>1-(Table5[[#This Row],[B Normal]]+Table5[[#This Row],[T Normal]])</f>
        <v>0.42040533518101508</v>
      </c>
    </row>
    <row r="24" spans="1:15" ht="20">
      <c r="A24" s="30" t="s">
        <v>69</v>
      </c>
      <c r="B24" s="31" t="s">
        <v>1062</v>
      </c>
      <c r="C24" s="30">
        <v>2015</v>
      </c>
      <c r="D24" s="30" t="s">
        <v>803</v>
      </c>
      <c r="E24" s="30">
        <v>21</v>
      </c>
      <c r="F24" s="14">
        <f t="shared" si="0"/>
        <v>0.58307210031347967</v>
      </c>
      <c r="H24" s="16" t="s">
        <v>1008</v>
      </c>
      <c r="I24" s="17">
        <v>28782</v>
      </c>
      <c r="J24" s="57">
        <f>Table5[[#This Row],[BIDEN VOTES]]/C84</f>
        <v>0.33040982665595225</v>
      </c>
      <c r="K24" s="18">
        <v>0.66400000000000003</v>
      </c>
      <c r="L24" s="17">
        <v>13267</v>
      </c>
      <c r="M24" s="56">
        <f>Table5[[#This Row],[TRUMP VOTES]]/C84</f>
        <v>0.15230168752152451</v>
      </c>
      <c r="N24" s="18">
        <v>0.30599999999999999</v>
      </c>
      <c r="O24" s="65">
        <f>1-(Table5[[#This Row],[B Normal]]+Table5[[#This Row],[T Normal]])</f>
        <v>0.51728848582252329</v>
      </c>
    </row>
    <row r="25" spans="1:15" ht="20">
      <c r="A25" s="32" t="s">
        <v>69</v>
      </c>
      <c r="B25" s="33" t="s">
        <v>1063</v>
      </c>
      <c r="C25" s="32">
        <v>2015</v>
      </c>
      <c r="D25" s="32" t="s">
        <v>803</v>
      </c>
      <c r="E25" s="32">
        <v>7.7</v>
      </c>
      <c r="F25" s="14">
        <f t="shared" si="0"/>
        <v>0.16614420062695928</v>
      </c>
      <c r="H25" s="16" t="s">
        <v>1009</v>
      </c>
      <c r="I25" s="17">
        <v>48991</v>
      </c>
      <c r="J25" s="57">
        <f>Table5[[#This Row],[BIDEN VOTES]]/C85</f>
        <v>0.17902075926054498</v>
      </c>
      <c r="K25" s="18">
        <v>0.54100000000000004</v>
      </c>
      <c r="L25" s="17">
        <v>39397</v>
      </c>
      <c r="M25" s="56">
        <f>Table5[[#This Row],[TRUMP VOTES]]/C85</f>
        <v>0.14396278607474211</v>
      </c>
      <c r="N25" s="18">
        <v>0.435</v>
      </c>
      <c r="O25" s="65">
        <f>1-(Table5[[#This Row],[B Normal]]+Table5[[#This Row],[T Normal]])</f>
        <v>0.67701645466471294</v>
      </c>
    </row>
    <row r="26" spans="1:15" ht="20">
      <c r="A26" s="30" t="s">
        <v>69</v>
      </c>
      <c r="B26" s="31" t="s">
        <v>1064</v>
      </c>
      <c r="C26" s="30">
        <v>2015</v>
      </c>
      <c r="D26" s="30" t="s">
        <v>803</v>
      </c>
      <c r="E26" s="30">
        <v>18.2</v>
      </c>
      <c r="F26" s="14">
        <f t="shared" si="0"/>
        <v>0.4952978056426332</v>
      </c>
      <c r="H26" s="16" t="s">
        <v>1010</v>
      </c>
      <c r="I26" s="17">
        <v>1150</v>
      </c>
      <c r="J26" s="57">
        <f>Table5[[#This Row],[BIDEN VOTES]]/C86</f>
        <v>0.12989946910651756</v>
      </c>
      <c r="K26" s="18">
        <v>0.26500000000000001</v>
      </c>
      <c r="L26" s="17">
        <v>3109</v>
      </c>
      <c r="M26" s="56">
        <f>Table5[[#This Row],[TRUMP VOTES]]/C86</f>
        <v>0.35118039082796793</v>
      </c>
      <c r="N26" s="18">
        <v>0.71699999999999997</v>
      </c>
      <c r="O26" s="65">
        <f>1-(Table5[[#This Row],[B Normal]]+Table5[[#This Row],[T Normal]])</f>
        <v>0.51892014006551457</v>
      </c>
    </row>
    <row r="27" spans="1:15" ht="20">
      <c r="A27" s="32" t="s">
        <v>69</v>
      </c>
      <c r="B27" s="33" t="s">
        <v>1065</v>
      </c>
      <c r="C27" s="32">
        <v>2015</v>
      </c>
      <c r="D27" s="32" t="s">
        <v>803</v>
      </c>
      <c r="E27" s="32">
        <v>7.5</v>
      </c>
      <c r="F27" s="14">
        <f t="shared" si="0"/>
        <v>0.15987460815047022</v>
      </c>
      <c r="H27" s="16" t="s">
        <v>1011</v>
      </c>
      <c r="I27" s="17">
        <v>4013</v>
      </c>
      <c r="J27" s="57">
        <f>Table5[[#This Row],[BIDEN VOTES]]/C87</f>
        <v>0.27877735324765546</v>
      </c>
      <c r="K27" s="18">
        <v>0.59599999999999997</v>
      </c>
      <c r="L27" s="17">
        <v>2513</v>
      </c>
      <c r="M27" s="56">
        <f>Table5[[#This Row],[TRUMP VOTES]]/C87</f>
        <v>0.17457450503647098</v>
      </c>
      <c r="N27" s="18">
        <v>0.373</v>
      </c>
      <c r="O27" s="65">
        <f>1-(Table5[[#This Row],[B Normal]]+Table5[[#This Row],[T Normal]])</f>
        <v>0.5466481417158735</v>
      </c>
    </row>
    <row r="28" spans="1:15" ht="20">
      <c r="A28" s="30" t="s">
        <v>69</v>
      </c>
      <c r="B28" s="31" t="s">
        <v>1066</v>
      </c>
      <c r="C28" s="30">
        <v>2015</v>
      </c>
      <c r="D28" s="30" t="s">
        <v>803</v>
      </c>
      <c r="E28" s="30">
        <v>3.7</v>
      </c>
      <c r="F28" s="14">
        <f t="shared" si="0"/>
        <v>4.0752351097178695E-2</v>
      </c>
      <c r="H28" s="16" t="s">
        <v>1012</v>
      </c>
      <c r="I28" s="17">
        <v>113953</v>
      </c>
      <c r="J28" s="57">
        <f>Table5[[#This Row],[BIDEN VOTES]]/C88</f>
        <v>0.26318488049018768</v>
      </c>
      <c r="K28" s="18">
        <v>0.69499999999999995</v>
      </c>
      <c r="L28" s="17">
        <v>46299</v>
      </c>
      <c r="M28" s="56">
        <f>Table5[[#This Row],[TRUMP VOTES]]/C88</f>
        <v>0.10693177697660615</v>
      </c>
      <c r="N28" s="18">
        <v>0.28299999999999997</v>
      </c>
      <c r="O28" s="65">
        <f>1-(Table5[[#This Row],[B Normal]]+Table5[[#This Row],[T Normal]])</f>
        <v>0.62988334253320621</v>
      </c>
    </row>
    <row r="29" spans="1:15" ht="20">
      <c r="A29" s="32" t="s">
        <v>69</v>
      </c>
      <c r="B29" s="33" t="s">
        <v>1067</v>
      </c>
      <c r="C29" s="32">
        <v>2015</v>
      </c>
      <c r="D29" s="32" t="s">
        <v>803</v>
      </c>
      <c r="E29" s="32">
        <v>8.1</v>
      </c>
      <c r="F29" s="14">
        <f t="shared" si="0"/>
        <v>0.17868338557993729</v>
      </c>
      <c r="H29" s="16" t="s">
        <v>1013</v>
      </c>
      <c r="I29" s="17">
        <v>49817</v>
      </c>
      <c r="J29" s="57">
        <f>Table5[[#This Row],[BIDEN VOTES]]/C89</f>
        <v>0.35950264122622178</v>
      </c>
      <c r="K29" s="18">
        <v>0.69099999999999995</v>
      </c>
      <c r="L29" s="17">
        <v>20676</v>
      </c>
      <c r="M29" s="56">
        <f>Table5[[#This Row],[TRUMP VOTES]]/C89</f>
        <v>0.14920763213347574</v>
      </c>
      <c r="N29" s="18">
        <v>0.28699999999999998</v>
      </c>
      <c r="O29" s="65">
        <f>1-(Table5[[#This Row],[B Normal]]+Table5[[#This Row],[T Normal]])</f>
        <v>0.49128972664030246</v>
      </c>
    </row>
    <row r="30" spans="1:15" ht="20">
      <c r="A30" s="30" t="s">
        <v>69</v>
      </c>
      <c r="B30" s="31" t="s">
        <v>33</v>
      </c>
      <c r="C30" s="30">
        <v>2015</v>
      </c>
      <c r="D30" s="30" t="s">
        <v>803</v>
      </c>
      <c r="E30" s="30">
        <v>5.4</v>
      </c>
      <c r="F30" s="14">
        <f t="shared" si="0"/>
        <v>9.4043887147335442E-2</v>
      </c>
      <c r="H30" s="16" t="s">
        <v>1014</v>
      </c>
      <c r="I30" s="17">
        <v>36359</v>
      </c>
      <c r="J30" s="57">
        <f>Table5[[#This Row],[BIDEN VOTES]]/C90</f>
        <v>0.36572216019393061</v>
      </c>
      <c r="K30" s="18">
        <v>0.56200000000000006</v>
      </c>
      <c r="L30" s="17">
        <v>26779</v>
      </c>
      <c r="M30" s="56">
        <f>Table5[[#This Row],[TRUMP VOTES]]/C90</f>
        <v>0.26936037096271259</v>
      </c>
      <c r="N30" s="18">
        <v>0.41399999999999998</v>
      </c>
      <c r="O30" s="65">
        <f>1-(Table5[[#This Row],[B Normal]]+Table5[[#This Row],[T Normal]])</f>
        <v>0.36491746884335674</v>
      </c>
    </row>
    <row r="31" spans="1:15" ht="20">
      <c r="A31" s="32" t="s">
        <v>69</v>
      </c>
      <c r="B31" s="33" t="s">
        <v>720</v>
      </c>
      <c r="C31" s="32">
        <v>2015</v>
      </c>
      <c r="D31" s="32" t="s">
        <v>803</v>
      </c>
      <c r="E31" s="32">
        <v>8</v>
      </c>
      <c r="F31" s="14">
        <f t="shared" si="0"/>
        <v>0.17554858934169279</v>
      </c>
      <c r="H31" s="16" t="s">
        <v>491</v>
      </c>
      <c r="I31" s="17">
        <v>814009</v>
      </c>
      <c r="J31" s="57">
        <f>Table5[[#This Row],[BIDEN VOTES]]/C91</f>
        <v>0.25675722989138405</v>
      </c>
      <c r="K31" s="18">
        <v>0.53500000000000003</v>
      </c>
      <c r="L31" s="17">
        <v>676498</v>
      </c>
      <c r="M31" s="56">
        <f>Table5[[#This Row],[TRUMP VOTES]]/C91</f>
        <v>0.21338308606792006</v>
      </c>
      <c r="N31" s="18">
        <v>0.44500000000000001</v>
      </c>
      <c r="O31" s="65">
        <f>1-(Table5[[#This Row],[B Normal]]+Table5[[#This Row],[T Normal]])</f>
        <v>0.52985968404069594</v>
      </c>
    </row>
    <row r="32" spans="1:15" ht="20">
      <c r="A32" s="30" t="s">
        <v>69</v>
      </c>
      <c r="B32" s="31" t="s">
        <v>1068</v>
      </c>
      <c r="C32" s="30">
        <v>2015</v>
      </c>
      <c r="D32" s="30" t="s">
        <v>803</v>
      </c>
      <c r="E32" s="30">
        <v>6.7</v>
      </c>
      <c r="F32" s="14">
        <f t="shared" si="0"/>
        <v>0.13479623824451414</v>
      </c>
      <c r="H32" s="16" t="s">
        <v>1015</v>
      </c>
      <c r="I32" s="17">
        <v>106869</v>
      </c>
      <c r="J32" s="57">
        <f>Table5[[#This Row],[BIDEN VOTES]]/C92</f>
        <v>0.27276486157442975</v>
      </c>
      <c r="K32" s="18">
        <v>0.45500000000000002</v>
      </c>
      <c r="L32" s="17">
        <v>122488</v>
      </c>
      <c r="M32" s="56">
        <f>Table5[[#This Row],[TRUMP VOTES]]/C92</f>
        <v>0.31262969022381376</v>
      </c>
      <c r="N32" s="18">
        <v>0.52100000000000002</v>
      </c>
      <c r="O32" s="65">
        <f>1-(Table5[[#This Row],[B Normal]]+Table5[[#This Row],[T Normal]])</f>
        <v>0.41460544820175649</v>
      </c>
    </row>
    <row r="33" spans="1:15" ht="20">
      <c r="A33" s="32" t="s">
        <v>69</v>
      </c>
      <c r="B33" s="33" t="s">
        <v>1069</v>
      </c>
      <c r="C33" s="32">
        <v>2015</v>
      </c>
      <c r="D33" s="32" t="s">
        <v>803</v>
      </c>
      <c r="E33" s="32">
        <v>21.7</v>
      </c>
      <c r="F33" s="14">
        <f t="shared" si="0"/>
        <v>0.60501567398119127</v>
      </c>
      <c r="H33" s="16" t="s">
        <v>1016</v>
      </c>
      <c r="I33" s="17">
        <v>4561</v>
      </c>
      <c r="J33" s="57">
        <f>Table5[[#This Row],[BIDEN VOTES]]/C93</f>
        <v>0.24203990660157079</v>
      </c>
      <c r="K33" s="18">
        <v>0.40500000000000003</v>
      </c>
      <c r="L33" s="17">
        <v>6445</v>
      </c>
      <c r="M33" s="56">
        <f>Table5[[#This Row],[TRUMP VOTES]]/C93</f>
        <v>0.34201867968584165</v>
      </c>
      <c r="N33" s="18">
        <v>0.57299999999999995</v>
      </c>
      <c r="O33" s="65">
        <f>1-(Table5[[#This Row],[B Normal]]+Table5[[#This Row],[T Normal]])</f>
        <v>0.41594141371258753</v>
      </c>
    </row>
    <row r="34" spans="1:15" ht="20">
      <c r="A34" s="30" t="s">
        <v>69</v>
      </c>
      <c r="B34" s="31" t="s">
        <v>1070</v>
      </c>
      <c r="C34" s="30">
        <v>2015</v>
      </c>
      <c r="D34" s="30" t="s">
        <v>803</v>
      </c>
      <c r="E34" s="30">
        <v>9.6</v>
      </c>
      <c r="F34" s="14">
        <f t="shared" ref="F34:F59" si="1">(E34-MIN(E:E))/(MAX(E:E)-MIN(E:E))</f>
        <v>0.225705329153605</v>
      </c>
      <c r="H34" s="16" t="s">
        <v>1017</v>
      </c>
      <c r="I34" s="17">
        <v>528340</v>
      </c>
      <c r="J34" s="57">
        <f>Table5[[#This Row],[BIDEN VOTES]]/C94</f>
        <v>0.21672250790035869</v>
      </c>
      <c r="K34" s="18">
        <v>0.53</v>
      </c>
      <c r="L34" s="17">
        <v>449144</v>
      </c>
      <c r="M34" s="56">
        <f>Table5[[#This Row],[TRUMP VOTES]]/C94</f>
        <v>0.18423669244879945</v>
      </c>
      <c r="N34" s="18">
        <v>0.45</v>
      </c>
      <c r="O34" s="65">
        <f>1-(Table5[[#This Row],[B Normal]]+Table5[[#This Row],[T Normal]])</f>
        <v>0.59904079965084189</v>
      </c>
    </row>
    <row r="35" spans="1:15" ht="20">
      <c r="A35" s="32" t="s">
        <v>69</v>
      </c>
      <c r="B35" s="33" t="s">
        <v>1071</v>
      </c>
      <c r="C35" s="32">
        <v>2015</v>
      </c>
      <c r="D35" s="32" t="s">
        <v>803</v>
      </c>
      <c r="E35" s="32">
        <v>12.2</v>
      </c>
      <c r="F35" s="14">
        <f t="shared" si="1"/>
        <v>0.30721003134796238</v>
      </c>
      <c r="H35" s="16" t="s">
        <v>1018</v>
      </c>
      <c r="I35" s="17">
        <v>440808</v>
      </c>
      <c r="J35" s="57">
        <f>Table5[[#This Row],[BIDEN VOTES]]/C95</f>
        <v>0.28662087404775716</v>
      </c>
      <c r="K35" s="18">
        <v>0.61399999999999999</v>
      </c>
      <c r="L35" s="17">
        <v>259405</v>
      </c>
      <c r="M35" s="56">
        <f>Table5[[#This Row],[TRUMP VOTES]]/C95</f>
        <v>0.16866955189642302</v>
      </c>
      <c r="N35" s="18">
        <v>0.36099999999999999</v>
      </c>
      <c r="O35" s="65">
        <f>1-(Table5[[#This Row],[B Normal]]+Table5[[#This Row],[T Normal]])</f>
        <v>0.54470957405581988</v>
      </c>
    </row>
    <row r="36" spans="1:15" ht="20">
      <c r="A36" s="30" t="s">
        <v>69</v>
      </c>
      <c r="B36" s="31" t="s">
        <v>1072</v>
      </c>
      <c r="C36" s="30">
        <v>2015</v>
      </c>
      <c r="D36" s="30" t="s">
        <v>803</v>
      </c>
      <c r="E36" s="30">
        <v>3.8</v>
      </c>
      <c r="F36" s="14">
        <f t="shared" si="1"/>
        <v>4.3887147335423198E-2</v>
      </c>
      <c r="H36" s="16" t="s">
        <v>1019</v>
      </c>
      <c r="I36" s="17">
        <v>17628</v>
      </c>
      <c r="J36" s="57">
        <f>Table5[[#This Row],[BIDEN VOTES]]/C96</f>
        <v>0.28641525988269129</v>
      </c>
      <c r="K36" s="18">
        <v>0.61199999999999999</v>
      </c>
      <c r="L36" s="17">
        <v>10590</v>
      </c>
      <c r="M36" s="56">
        <f>Table5[[#This Row],[TRUMP VOTES]]/C96</f>
        <v>0.17206362617186866</v>
      </c>
      <c r="N36" s="18">
        <v>0.36699999999999999</v>
      </c>
      <c r="O36" s="65">
        <f>1-(Table5[[#This Row],[B Normal]]+Table5[[#This Row],[T Normal]])</f>
        <v>0.54152111394544011</v>
      </c>
    </row>
    <row r="37" spans="1:15" ht="20">
      <c r="A37" s="32" t="s">
        <v>69</v>
      </c>
      <c r="B37" s="33" t="s">
        <v>1073</v>
      </c>
      <c r="C37" s="32">
        <v>2015</v>
      </c>
      <c r="D37" s="32" t="s">
        <v>803</v>
      </c>
      <c r="E37" s="32">
        <v>9.4</v>
      </c>
      <c r="F37" s="14">
        <f t="shared" si="1"/>
        <v>0.21943573667711599</v>
      </c>
      <c r="H37" s="16" t="s">
        <v>1020</v>
      </c>
      <c r="I37" s="17">
        <v>455859</v>
      </c>
      <c r="J37" s="57">
        <f>Table5[[#This Row],[BIDEN VOTES]]/C97</f>
        <v>0.21079873037716898</v>
      </c>
      <c r="K37" s="18">
        <v>0.54200000000000004</v>
      </c>
      <c r="L37" s="17">
        <v>366257</v>
      </c>
      <c r="M37" s="56">
        <f>Table5[[#This Row],[TRUMP VOTES]]/C97</f>
        <v>0.16936489263511476</v>
      </c>
      <c r="N37" s="18">
        <v>0.436</v>
      </c>
      <c r="O37" s="65">
        <f>1-(Table5[[#This Row],[B Normal]]+Table5[[#This Row],[T Normal]])</f>
        <v>0.61983637698771621</v>
      </c>
    </row>
    <row r="38" spans="1:15" ht="20">
      <c r="A38" s="30" t="s">
        <v>69</v>
      </c>
      <c r="B38" s="31" t="s">
        <v>1074</v>
      </c>
      <c r="C38" s="30">
        <v>2015</v>
      </c>
      <c r="D38" s="30" t="s">
        <v>803</v>
      </c>
      <c r="E38" s="30">
        <v>6.7</v>
      </c>
      <c r="F38" s="14">
        <f t="shared" si="1"/>
        <v>0.13479623824451414</v>
      </c>
      <c r="H38" s="16" t="s">
        <v>1021</v>
      </c>
      <c r="I38" s="17">
        <v>964650</v>
      </c>
      <c r="J38" s="57">
        <f>Table5[[#This Row],[BIDEN VOTES]]/C98</f>
        <v>0.29021020045307266</v>
      </c>
      <c r="K38" s="18">
        <v>0.60199999999999998</v>
      </c>
      <c r="L38" s="17">
        <v>600094</v>
      </c>
      <c r="M38" s="56">
        <f>Table5[[#This Row],[TRUMP VOTES]]/C98</f>
        <v>0.18053532372434167</v>
      </c>
      <c r="N38" s="18">
        <v>0.375</v>
      </c>
      <c r="O38" s="65">
        <f>1-(Table5[[#This Row],[B Normal]]+Table5[[#This Row],[T Normal]])</f>
        <v>0.52925447582258567</v>
      </c>
    </row>
    <row r="39" spans="1:15" ht="20">
      <c r="A39" s="32" t="s">
        <v>69</v>
      </c>
      <c r="B39" s="33" t="s">
        <v>1075</v>
      </c>
      <c r="C39" s="32">
        <v>2015</v>
      </c>
      <c r="D39" s="32" t="s">
        <v>803</v>
      </c>
      <c r="E39" s="32">
        <v>6.2</v>
      </c>
      <c r="F39" s="14">
        <f t="shared" si="1"/>
        <v>0.11912225705329155</v>
      </c>
      <c r="H39" s="16" t="s">
        <v>1022</v>
      </c>
      <c r="I39" s="17">
        <v>378156</v>
      </c>
      <c r="J39" s="57">
        <f>Table5[[#This Row],[BIDEN VOTES]]/C99</f>
        <v>0.43228499835387935</v>
      </c>
      <c r="K39" s="18">
        <v>0.85299999999999998</v>
      </c>
      <c r="L39" s="17">
        <v>56417</v>
      </c>
      <c r="M39" s="56">
        <f>Table5[[#This Row],[TRUMP VOTES]]/C99</f>
        <v>6.4492491860847934E-2</v>
      </c>
      <c r="N39" s="18">
        <v>0.127</v>
      </c>
      <c r="O39" s="65">
        <f>1-(Table5[[#This Row],[B Normal]]+Table5[[#This Row],[T Normal]])</f>
        <v>0.50322250978527272</v>
      </c>
    </row>
    <row r="40" spans="1:15" ht="20">
      <c r="A40" s="30" t="s">
        <v>69</v>
      </c>
      <c r="B40" s="31" t="s">
        <v>1076</v>
      </c>
      <c r="C40" s="30">
        <v>2015</v>
      </c>
      <c r="D40" s="30" t="s">
        <v>803</v>
      </c>
      <c r="E40" s="30">
        <v>7.3</v>
      </c>
      <c r="F40" s="14">
        <f t="shared" si="1"/>
        <v>0.15360501567398122</v>
      </c>
      <c r="H40" s="16" t="s">
        <v>1023</v>
      </c>
      <c r="I40" s="17">
        <v>161137</v>
      </c>
      <c r="J40" s="57">
        <f>Table5[[#This Row],[BIDEN VOTES]]/C100</f>
        <v>0.21438768518456922</v>
      </c>
      <c r="K40" s="18">
        <v>0.55900000000000005</v>
      </c>
      <c r="L40" s="17">
        <v>121098</v>
      </c>
      <c r="M40" s="56">
        <f>Table5[[#This Row],[TRUMP VOTES]]/C100</f>
        <v>0.16111706126141709</v>
      </c>
      <c r="N40" s="18">
        <v>0.42</v>
      </c>
      <c r="O40" s="65">
        <f>1-(Table5[[#This Row],[B Normal]]+Table5[[#This Row],[T Normal]])</f>
        <v>0.6244952535540137</v>
      </c>
    </row>
    <row r="41" spans="1:15" ht="20">
      <c r="A41" s="32" t="s">
        <v>69</v>
      </c>
      <c r="B41" s="33" t="s">
        <v>1077</v>
      </c>
      <c r="C41" s="32">
        <v>2015</v>
      </c>
      <c r="D41" s="32" t="s">
        <v>803</v>
      </c>
      <c r="E41" s="32">
        <v>11.3</v>
      </c>
      <c r="F41" s="14">
        <f t="shared" si="1"/>
        <v>0.27899686520376177</v>
      </c>
      <c r="H41" s="16" t="s">
        <v>1024</v>
      </c>
      <c r="I41" s="17">
        <v>88310</v>
      </c>
      <c r="J41" s="57">
        <f>Table5[[#This Row],[BIDEN VOTES]]/C101</f>
        <v>0.31258295960951021</v>
      </c>
      <c r="K41" s="18">
        <v>0.55300000000000005</v>
      </c>
      <c r="L41" s="17">
        <v>67436</v>
      </c>
      <c r="M41" s="56">
        <f>Table5[[#This Row],[TRUMP VOTES]]/C101</f>
        <v>0.23869714034907633</v>
      </c>
      <c r="N41" s="18">
        <v>0.42199999999999999</v>
      </c>
      <c r="O41" s="65">
        <f>1-(Table5[[#This Row],[B Normal]]+Table5[[#This Row],[T Normal]])</f>
        <v>0.44871990004141349</v>
      </c>
    </row>
    <row r="42" spans="1:15" ht="20">
      <c r="A42" s="30" t="s">
        <v>69</v>
      </c>
      <c r="B42" s="31" t="s">
        <v>1078</v>
      </c>
      <c r="C42" s="30">
        <v>2015</v>
      </c>
      <c r="D42" s="30" t="s">
        <v>803</v>
      </c>
      <c r="E42" s="30">
        <v>2.4</v>
      </c>
      <c r="F42" s="14">
        <f t="shared" si="1"/>
        <v>0</v>
      </c>
      <c r="H42" s="16" t="s">
        <v>1025</v>
      </c>
      <c r="I42" s="17">
        <v>291496</v>
      </c>
      <c r="J42" s="57">
        <f>Table5[[#This Row],[BIDEN VOTES]]/C102</f>
        <v>0.38073046394896704</v>
      </c>
      <c r="K42" s="18">
        <v>0.77900000000000003</v>
      </c>
      <c r="L42" s="17">
        <v>75584</v>
      </c>
      <c r="M42" s="56">
        <f>Table5[[#This Row],[TRUMP VOTES]]/C102</f>
        <v>9.8722217070281323E-2</v>
      </c>
      <c r="N42" s="18">
        <v>0.20200000000000001</v>
      </c>
      <c r="O42" s="65">
        <f>1-(Table5[[#This Row],[B Normal]]+Table5[[#This Row],[T Normal]])</f>
        <v>0.52054731898075168</v>
      </c>
    </row>
    <row r="43" spans="1:15" ht="20">
      <c r="A43" s="32" t="s">
        <v>69</v>
      </c>
      <c r="B43" s="33" t="s">
        <v>1079</v>
      </c>
      <c r="C43" s="32">
        <v>2015</v>
      </c>
      <c r="D43" s="32" t="s">
        <v>803</v>
      </c>
      <c r="E43" s="32">
        <v>5.5</v>
      </c>
      <c r="F43" s="14">
        <f t="shared" si="1"/>
        <v>9.7178683385579945E-2</v>
      </c>
      <c r="H43" s="16" t="s">
        <v>1026</v>
      </c>
      <c r="I43" s="17">
        <v>129963</v>
      </c>
      <c r="J43" s="57">
        <f>Table5[[#This Row],[BIDEN VOTES]]/C103</f>
        <v>0.29212061272884615</v>
      </c>
      <c r="K43" s="18">
        <v>0.64900000000000002</v>
      </c>
      <c r="L43" s="17">
        <v>65736</v>
      </c>
      <c r="M43" s="56">
        <f>Table5[[#This Row],[TRUMP VOTES]]/C103</f>
        <v>0.14775621213994314</v>
      </c>
      <c r="N43" s="18">
        <v>0.32800000000000001</v>
      </c>
      <c r="O43" s="65">
        <f>1-(Table5[[#This Row],[B Normal]]+Table5[[#This Row],[T Normal]])</f>
        <v>0.56012317513121068</v>
      </c>
    </row>
    <row r="44" spans="1:15" ht="20">
      <c r="A44" s="30" t="s">
        <v>69</v>
      </c>
      <c r="B44" s="31" t="s">
        <v>1080</v>
      </c>
      <c r="C44" s="30">
        <v>2015</v>
      </c>
      <c r="D44" s="30" t="s">
        <v>803</v>
      </c>
      <c r="E44" s="30">
        <v>4.0999999999999996</v>
      </c>
      <c r="F44" s="14">
        <f t="shared" si="1"/>
        <v>5.3291536050156733E-2</v>
      </c>
      <c r="H44" s="16" t="s">
        <v>1027</v>
      </c>
      <c r="I44" s="17">
        <v>617967</v>
      </c>
      <c r="J44" s="57">
        <f>Table5[[#This Row],[BIDEN VOTES]]/C104</f>
        <v>0.32112541240576831</v>
      </c>
      <c r="K44" s="18">
        <v>0.72699999999999998</v>
      </c>
      <c r="L44" s="17">
        <v>214612</v>
      </c>
      <c r="M44" s="56">
        <f>Table5[[#This Row],[TRUMP VOTES]]/C104</f>
        <v>0.11152273018984306</v>
      </c>
      <c r="N44" s="18">
        <v>0.252</v>
      </c>
      <c r="O44" s="65">
        <f>1-(Table5[[#This Row],[B Normal]]+Table5[[#This Row],[T Normal]])</f>
        <v>0.56735185740438865</v>
      </c>
    </row>
    <row r="45" spans="1:15" ht="20">
      <c r="A45" s="32" t="s">
        <v>69</v>
      </c>
      <c r="B45" s="33" t="s">
        <v>966</v>
      </c>
      <c r="C45" s="32">
        <v>2015</v>
      </c>
      <c r="D45" s="32" t="s">
        <v>803</v>
      </c>
      <c r="E45" s="32">
        <v>6.8</v>
      </c>
      <c r="F45" s="14">
        <f t="shared" si="1"/>
        <v>0.13793103448275865</v>
      </c>
      <c r="H45" s="16" t="s">
        <v>981</v>
      </c>
      <c r="I45" s="17">
        <v>114246</v>
      </c>
      <c r="J45" s="57">
        <f>Table5[[#This Row],[BIDEN VOTES]]/C105</f>
        <v>0.41822308452611928</v>
      </c>
      <c r="K45" s="18">
        <v>0.78900000000000003</v>
      </c>
      <c r="L45" s="17">
        <v>26937</v>
      </c>
      <c r="M45" s="56">
        <f>Table5[[#This Row],[TRUMP VOTES]]/C105</f>
        <v>9.86089248453344E-2</v>
      </c>
      <c r="N45" s="18">
        <v>0.186</v>
      </c>
      <c r="O45" s="65">
        <f>1-(Table5[[#This Row],[B Normal]]+Table5[[#This Row],[T Normal]])</f>
        <v>0.48316799062854632</v>
      </c>
    </row>
    <row r="46" spans="1:15" ht="20">
      <c r="A46" s="30" t="s">
        <v>69</v>
      </c>
      <c r="B46" s="31" t="s">
        <v>1081</v>
      </c>
      <c r="C46" s="30">
        <v>2015</v>
      </c>
      <c r="D46" s="30" t="s">
        <v>803</v>
      </c>
      <c r="E46" s="30">
        <v>12.7</v>
      </c>
      <c r="F46" s="14">
        <f t="shared" si="1"/>
        <v>0.32288401253918492</v>
      </c>
      <c r="H46" s="16" t="s">
        <v>1028</v>
      </c>
      <c r="I46" s="17">
        <v>30000</v>
      </c>
      <c r="J46" s="57">
        <f>Table5[[#This Row],[BIDEN VOTES]]/C106</f>
        <v>0.16734814550363425</v>
      </c>
      <c r="K46" s="18">
        <v>0.32300000000000001</v>
      </c>
      <c r="L46" s="17">
        <v>60789</v>
      </c>
      <c r="M46" s="56">
        <f>Table5[[#This Row],[TRUMP VOTES]]/C106</f>
        <v>0.33909754723401409</v>
      </c>
      <c r="N46" s="18">
        <v>0.65400000000000003</v>
      </c>
      <c r="O46" s="65">
        <f>1-(Table5[[#This Row],[B Normal]]+Table5[[#This Row],[T Normal]])</f>
        <v>0.49355430726235161</v>
      </c>
    </row>
    <row r="47" spans="1:15" ht="20">
      <c r="A47" s="32" t="s">
        <v>69</v>
      </c>
      <c r="B47" s="33" t="s">
        <v>1082</v>
      </c>
      <c r="C47" s="32">
        <v>2015</v>
      </c>
      <c r="D47" s="32" t="s">
        <v>803</v>
      </c>
      <c r="E47" s="32">
        <v>6.4</v>
      </c>
      <c r="F47" s="14">
        <f t="shared" si="1"/>
        <v>0.12539184952978058</v>
      </c>
      <c r="H47" s="16" t="s">
        <v>1029</v>
      </c>
      <c r="I47" s="19">
        <v>730</v>
      </c>
      <c r="J47" s="57">
        <f>Table5[[#This Row],[BIDEN VOTES]]/C107</f>
        <v>0.25189786059351277</v>
      </c>
      <c r="K47" s="18">
        <v>0.378</v>
      </c>
      <c r="L47" s="17">
        <v>1142</v>
      </c>
      <c r="M47" s="56">
        <f>Table5[[#This Row],[TRUMP VOTES]]/C107</f>
        <v>0.39406487232574189</v>
      </c>
      <c r="N47" s="18">
        <v>0.59199999999999997</v>
      </c>
      <c r="O47" s="65">
        <f>1-(Table5[[#This Row],[B Normal]]+Table5[[#This Row],[T Normal]])</f>
        <v>0.35403726708074534</v>
      </c>
    </row>
    <row r="48" spans="1:15" ht="20">
      <c r="A48" s="30" t="s">
        <v>69</v>
      </c>
      <c r="B48" s="31" t="s">
        <v>1083</v>
      </c>
      <c r="C48" s="30">
        <v>2015</v>
      </c>
      <c r="D48" s="30" t="s">
        <v>803</v>
      </c>
      <c r="E48" s="30">
        <v>19.5</v>
      </c>
      <c r="F48" s="14">
        <f t="shared" si="1"/>
        <v>0.53605015673981193</v>
      </c>
      <c r="H48" s="16" t="s">
        <v>1030</v>
      </c>
      <c r="I48" s="17">
        <v>9593</v>
      </c>
      <c r="J48" s="57">
        <f>Table5[[#This Row],[BIDEN VOTES]]/C108</f>
        <v>0.22044765143855133</v>
      </c>
      <c r="K48" s="18">
        <v>0.40899999999999997</v>
      </c>
      <c r="L48" s="17">
        <v>13290</v>
      </c>
      <c r="M48" s="56">
        <f>Table5[[#This Row],[TRUMP VOTES]]/C108</f>
        <v>0.30540490853938779</v>
      </c>
      <c r="N48" s="18">
        <v>0.56699999999999995</v>
      </c>
      <c r="O48" s="65">
        <f>1-(Table5[[#This Row],[B Normal]]+Table5[[#This Row],[T Normal]])</f>
        <v>0.47414744002206088</v>
      </c>
    </row>
    <row r="49" spans="1:15" ht="20">
      <c r="A49" s="32" t="s">
        <v>69</v>
      </c>
      <c r="B49" s="33" t="s">
        <v>1084</v>
      </c>
      <c r="C49" s="32">
        <v>2015</v>
      </c>
      <c r="D49" s="32" t="s">
        <v>803</v>
      </c>
      <c r="E49" s="32">
        <v>4.8</v>
      </c>
      <c r="F49" s="14">
        <f t="shared" si="1"/>
        <v>7.5235109717868343E-2</v>
      </c>
      <c r="H49" s="16" t="s">
        <v>1031</v>
      </c>
      <c r="I49" s="17">
        <v>131639</v>
      </c>
      <c r="J49" s="57">
        <f>Table5[[#This Row],[BIDEN VOTES]]/C109</f>
        <v>0.29612541560001621</v>
      </c>
      <c r="K49" s="18">
        <v>0.64</v>
      </c>
      <c r="L49" s="17">
        <v>69306</v>
      </c>
      <c r="M49" s="56">
        <f>Table5[[#This Row],[TRUMP VOTES]]/C109</f>
        <v>0.15590568185396975</v>
      </c>
      <c r="N49" s="18">
        <v>0.33700000000000002</v>
      </c>
      <c r="O49" s="65">
        <f>1-(Table5[[#This Row],[B Normal]]+Table5[[#This Row],[T Normal]])</f>
        <v>0.54796890254601405</v>
      </c>
    </row>
    <row r="50" spans="1:15" ht="20">
      <c r="A50" s="30" t="s">
        <v>69</v>
      </c>
      <c r="B50" s="31" t="s">
        <v>1085</v>
      </c>
      <c r="C50" s="30">
        <v>2015</v>
      </c>
      <c r="D50" s="30" t="s">
        <v>803</v>
      </c>
      <c r="E50" s="30">
        <v>4.5999999999999996</v>
      </c>
      <c r="F50" s="14">
        <f t="shared" si="1"/>
        <v>6.8965517241379309E-2</v>
      </c>
      <c r="H50" s="16" t="s">
        <v>1032</v>
      </c>
      <c r="I50" s="17">
        <v>199938</v>
      </c>
      <c r="J50" s="57">
        <f>Table5[[#This Row],[BIDEN VOTES]]/C110</f>
        <v>0.40245088073494217</v>
      </c>
      <c r="K50" s="18">
        <v>0.745</v>
      </c>
      <c r="L50" s="17">
        <v>61825</v>
      </c>
      <c r="M50" s="56">
        <f>Table5[[#This Row],[TRUMP VOTES]]/C110</f>
        <v>0.12444620683130669</v>
      </c>
      <c r="N50" s="18">
        <v>0.23</v>
      </c>
      <c r="O50" s="65">
        <f>1-(Table5[[#This Row],[B Normal]]+Table5[[#This Row],[T Normal]])</f>
        <v>0.47310291243375113</v>
      </c>
    </row>
    <row r="51" spans="1:15" ht="20">
      <c r="A51" s="32" t="s">
        <v>69</v>
      </c>
      <c r="B51" s="33" t="s">
        <v>1086</v>
      </c>
      <c r="C51" s="32">
        <v>2015</v>
      </c>
      <c r="D51" s="32" t="s">
        <v>803</v>
      </c>
      <c r="E51" s="32">
        <v>14.1</v>
      </c>
      <c r="F51" s="14">
        <f t="shared" si="1"/>
        <v>0.36677115987460812</v>
      </c>
      <c r="H51" s="16" t="s">
        <v>1033</v>
      </c>
      <c r="I51" s="17">
        <v>105841</v>
      </c>
      <c r="J51" s="57">
        <f>Table5[[#This Row],[BIDEN VOTES]]/C111</f>
        <v>0.19376458850128608</v>
      </c>
      <c r="K51" s="18">
        <v>0.49299999999999999</v>
      </c>
      <c r="L51" s="17">
        <v>104145</v>
      </c>
      <c r="M51" s="56">
        <f>Table5[[#This Row],[TRUMP VOTES]]/C111</f>
        <v>0.19065969774913727</v>
      </c>
      <c r="N51" s="18">
        <v>0.48499999999999999</v>
      </c>
      <c r="O51" s="65">
        <f>1-(Table5[[#This Row],[B Normal]]+Table5[[#This Row],[T Normal]])</f>
        <v>0.61557571374957665</v>
      </c>
    </row>
    <row r="52" spans="1:15" ht="20">
      <c r="A52" s="30" t="s">
        <v>69</v>
      </c>
      <c r="B52" s="31" t="s">
        <v>1087</v>
      </c>
      <c r="C52" s="30">
        <v>2015</v>
      </c>
      <c r="D52" s="30" t="s">
        <v>803</v>
      </c>
      <c r="E52" s="30">
        <v>5.8</v>
      </c>
      <c r="F52" s="14">
        <f t="shared" si="1"/>
        <v>0.10658307210031348</v>
      </c>
      <c r="H52" s="16" t="s">
        <v>1034</v>
      </c>
      <c r="I52" s="17">
        <v>17367</v>
      </c>
      <c r="J52" s="57">
        <f>Table5[[#This Row],[BIDEN VOTES]]/C112</f>
        <v>0.18031459274256345</v>
      </c>
      <c r="K52" s="18">
        <v>0.40699999999999997</v>
      </c>
      <c r="L52" s="17">
        <v>24375</v>
      </c>
      <c r="M52" s="56">
        <f>Table5[[#This Row],[TRUMP VOTES]]/C112</f>
        <v>0.25307584488397444</v>
      </c>
      <c r="N52" s="18">
        <v>0.57199999999999995</v>
      </c>
      <c r="O52" s="65">
        <f>1-(Table5[[#This Row],[B Normal]]+Table5[[#This Row],[T Normal]])</f>
        <v>0.56660956237346216</v>
      </c>
    </row>
    <row r="53" spans="1:15" ht="20">
      <c r="A53" s="32" t="s">
        <v>69</v>
      </c>
      <c r="B53" s="33" t="s">
        <v>1088</v>
      </c>
      <c r="C53" s="32">
        <v>2015</v>
      </c>
      <c r="D53" s="32" t="s">
        <v>803</v>
      </c>
      <c r="E53" s="32">
        <v>16.600000000000001</v>
      </c>
      <c r="F53" s="14">
        <f t="shared" si="1"/>
        <v>0.44514106583072105</v>
      </c>
      <c r="H53" s="16" t="s">
        <v>1035</v>
      </c>
      <c r="I53" s="17">
        <v>8911</v>
      </c>
      <c r="J53" s="57">
        <f>Table5[[#This Row],[BIDEN VOTES]]/C113</f>
        <v>0.13885253054101221</v>
      </c>
      <c r="K53" s="18">
        <v>0.31</v>
      </c>
      <c r="L53" s="17">
        <v>19141</v>
      </c>
      <c r="M53" s="56">
        <f>Table5[[#This Row],[TRUMP VOTES]]/C113</f>
        <v>0.29825791573173771</v>
      </c>
      <c r="N53" s="18">
        <v>0.66600000000000004</v>
      </c>
      <c r="O53" s="65">
        <f>1-(Table5[[#This Row],[B Normal]]+Table5[[#This Row],[T Normal]])</f>
        <v>0.56288955372725002</v>
      </c>
    </row>
    <row r="54" spans="1:15" ht="20">
      <c r="A54" s="30" t="s">
        <v>69</v>
      </c>
      <c r="B54" s="31" t="s">
        <v>762</v>
      </c>
      <c r="C54" s="30">
        <v>2015</v>
      </c>
      <c r="D54" s="30" t="s">
        <v>803</v>
      </c>
      <c r="E54" s="30">
        <v>34.299999999999997</v>
      </c>
      <c r="F54" s="14">
        <f t="shared" si="1"/>
        <v>1</v>
      </c>
      <c r="H54" s="16" t="s">
        <v>533</v>
      </c>
      <c r="I54" s="17">
        <v>2851</v>
      </c>
      <c r="J54" s="57">
        <f>Table5[[#This Row],[BIDEN VOTES]]/C114</f>
        <v>0.22733434335379954</v>
      </c>
      <c r="K54" s="18">
        <v>0.45600000000000002</v>
      </c>
      <c r="L54" s="17">
        <v>3188</v>
      </c>
      <c r="M54" s="56">
        <f>Table5[[#This Row],[TRUMP VOTES]]/C114</f>
        <v>0.25420620365202135</v>
      </c>
      <c r="N54" s="18">
        <v>0.50900000000000001</v>
      </c>
      <c r="O54" s="65">
        <f>1-(Table5[[#This Row],[B Normal]]+Table5[[#This Row],[T Normal]])</f>
        <v>0.51845945299417906</v>
      </c>
    </row>
    <row r="55" spans="1:15" ht="20">
      <c r="A55" s="32" t="s">
        <v>69</v>
      </c>
      <c r="B55" s="33" t="s">
        <v>1089</v>
      </c>
      <c r="C55" s="32">
        <v>2015</v>
      </c>
      <c r="D55" s="32" t="s">
        <v>803</v>
      </c>
      <c r="E55" s="32">
        <v>8</v>
      </c>
      <c r="F55" s="14">
        <f t="shared" si="1"/>
        <v>0.17554858934169279</v>
      </c>
      <c r="H55" s="16" t="s">
        <v>1036</v>
      </c>
      <c r="I55" s="17">
        <v>66105</v>
      </c>
      <c r="J55" s="57">
        <f>Table5[[#This Row],[BIDEN VOTES]]/C115</f>
        <v>0.14248149066180987</v>
      </c>
      <c r="K55" s="18">
        <v>0.45</v>
      </c>
      <c r="L55" s="17">
        <v>77579</v>
      </c>
      <c r="M55" s="56">
        <f>Table5[[#This Row],[TRUMP VOTES]]/C115</f>
        <v>0.16721233740341196</v>
      </c>
      <c r="N55" s="18">
        <v>0.52800000000000002</v>
      </c>
      <c r="O55" s="65">
        <f>1-(Table5[[#This Row],[B Normal]]+Table5[[#This Row],[T Normal]])</f>
        <v>0.69030617193477817</v>
      </c>
    </row>
    <row r="56" spans="1:15" ht="20">
      <c r="A56" s="30" t="s">
        <v>69</v>
      </c>
      <c r="B56" s="31" t="s">
        <v>1090</v>
      </c>
      <c r="C56" s="30">
        <v>2015</v>
      </c>
      <c r="D56" s="30" t="s">
        <v>803</v>
      </c>
      <c r="E56" s="30">
        <v>18.2</v>
      </c>
      <c r="F56" s="14">
        <f t="shared" si="1"/>
        <v>0.4952978056426332</v>
      </c>
      <c r="H56" s="16" t="s">
        <v>1037</v>
      </c>
      <c r="I56" s="17">
        <v>11978</v>
      </c>
      <c r="J56" s="57">
        <f>Table5[[#This Row],[BIDEN VOTES]]/C116</f>
        <v>0.22121262489149907</v>
      </c>
      <c r="K56" s="18">
        <v>0.39400000000000002</v>
      </c>
      <c r="L56" s="17">
        <v>17689</v>
      </c>
      <c r="M56" s="56">
        <f>Table5[[#This Row],[TRUMP VOTES]]/C116</f>
        <v>0.32668476554564424</v>
      </c>
      <c r="N56" s="18">
        <v>0.58199999999999996</v>
      </c>
      <c r="O56" s="65">
        <f>1-(Table5[[#This Row],[B Normal]]+Table5[[#This Row],[T Normal]])</f>
        <v>0.45210260956285664</v>
      </c>
    </row>
    <row r="57" spans="1:15" ht="20">
      <c r="A57" s="32" t="s">
        <v>69</v>
      </c>
      <c r="B57" s="33" t="s">
        <v>1091</v>
      </c>
      <c r="C57" s="32">
        <v>2015</v>
      </c>
      <c r="D57" s="32" t="s">
        <v>803</v>
      </c>
      <c r="E57" s="32">
        <v>5.9</v>
      </c>
      <c r="F57" s="14">
        <f t="shared" si="1"/>
        <v>0.10971786833855801</v>
      </c>
      <c r="H57" s="16" t="s">
        <v>1038</v>
      </c>
      <c r="I57" s="17">
        <v>251388</v>
      </c>
      <c r="J57" s="57">
        <f>Table5[[#This Row],[BIDEN VOTES]]/C117</f>
        <v>0.2972898501535598</v>
      </c>
      <c r="K57" s="18">
        <v>0.59499999999999997</v>
      </c>
      <c r="L57" s="17">
        <v>162207</v>
      </c>
      <c r="M57" s="56">
        <f>Table5[[#This Row],[TRUMP VOTES]]/C117</f>
        <v>0.19182496668042417</v>
      </c>
      <c r="N57" s="18">
        <v>0.38400000000000001</v>
      </c>
      <c r="O57" s="65">
        <f>1-(Table5[[#This Row],[B Normal]]+Table5[[#This Row],[T Normal]])</f>
        <v>0.51088518316601605</v>
      </c>
    </row>
    <row r="58" spans="1:15" ht="20">
      <c r="A58" s="30" t="s">
        <v>69</v>
      </c>
      <c r="B58" s="31" t="s">
        <v>1092</v>
      </c>
      <c r="C58" s="30">
        <v>2015</v>
      </c>
      <c r="D58" s="30" t="s">
        <v>803</v>
      </c>
      <c r="E58" s="30">
        <v>7.1</v>
      </c>
      <c r="F58" s="14">
        <f t="shared" si="1"/>
        <v>0.14733542319749215</v>
      </c>
      <c r="H58" s="16" t="s">
        <v>1039</v>
      </c>
      <c r="I58" s="17">
        <v>67598</v>
      </c>
      <c r="J58" s="57">
        <f>Table5[[#This Row],[BIDEN VOTES]]/C118</f>
        <v>0.3089855284448792</v>
      </c>
      <c r="K58" s="18">
        <v>0.69499999999999995</v>
      </c>
      <c r="L58" s="17">
        <v>27292</v>
      </c>
      <c r="M58" s="56">
        <f>Table5[[#This Row],[TRUMP VOTES]]/C118</f>
        <v>0.12474974174262024</v>
      </c>
      <c r="N58" s="18">
        <v>0.28100000000000003</v>
      </c>
      <c r="O58" s="65">
        <f>1-(Table5[[#This Row],[B Normal]]+Table5[[#This Row],[T Normal]])</f>
        <v>0.56626472981250053</v>
      </c>
    </row>
    <row r="59" spans="1:15" ht="20">
      <c r="A59" s="61" t="s">
        <v>69</v>
      </c>
      <c r="B59" s="62" t="s">
        <v>1093</v>
      </c>
      <c r="C59" s="61">
        <v>2015</v>
      </c>
      <c r="D59" s="61" t="s">
        <v>803</v>
      </c>
      <c r="E59" s="61">
        <v>12.4</v>
      </c>
      <c r="F59" s="14">
        <f t="shared" si="1"/>
        <v>0.31347962382445144</v>
      </c>
      <c r="H59" s="16" t="s">
        <v>1040</v>
      </c>
      <c r="I59" s="17">
        <v>11230</v>
      </c>
      <c r="J59" s="57">
        <f>Table5[[#This Row],[BIDEN VOTES]]/C119</f>
        <v>0.1448583664413601</v>
      </c>
      <c r="K59" s="18">
        <v>0.377</v>
      </c>
      <c r="L59" s="17">
        <v>17676</v>
      </c>
      <c r="M59" s="56">
        <f>Table5[[#This Row],[TRUMP VOTES]]/C119</f>
        <v>0.22800681079407667</v>
      </c>
      <c r="N59" s="18">
        <v>0.59299999999999997</v>
      </c>
      <c r="O59" s="65">
        <f>1-(Table5[[#This Row],[B Normal]]+Table5[[#This Row],[T Normal]])</f>
        <v>0.62713482276456323</v>
      </c>
    </row>
    <row r="61" spans="1:15" ht="21">
      <c r="A61" s="77" t="s">
        <v>1670</v>
      </c>
      <c r="B61" s="77" t="s">
        <v>69</v>
      </c>
      <c r="C61" s="77" t="s">
        <v>54</v>
      </c>
    </row>
    <row r="62" spans="1:15" ht="21">
      <c r="A62" s="52">
        <v>7</v>
      </c>
      <c r="B62" s="53" t="s">
        <v>987</v>
      </c>
      <c r="C62" s="54">
        <v>1661584</v>
      </c>
    </row>
    <row r="63" spans="1:15" ht="21">
      <c r="A63" s="52">
        <v>58</v>
      </c>
      <c r="B63" s="53" t="s">
        <v>988</v>
      </c>
      <c r="C63" s="54">
        <v>1159</v>
      </c>
    </row>
    <row r="64" spans="1:15" ht="21">
      <c r="A64" s="52">
        <v>46</v>
      </c>
      <c r="B64" s="53" t="s">
        <v>989</v>
      </c>
      <c r="C64" s="54">
        <v>39023</v>
      </c>
    </row>
    <row r="65" spans="1:3" ht="21">
      <c r="A65" s="52">
        <v>27</v>
      </c>
      <c r="B65" s="53" t="s">
        <v>990</v>
      </c>
      <c r="C65" s="54">
        <v>223344</v>
      </c>
    </row>
    <row r="66" spans="1:3" ht="21">
      <c r="A66" s="52">
        <v>44</v>
      </c>
      <c r="B66" s="53" t="s">
        <v>991</v>
      </c>
      <c r="C66" s="54">
        <v>45828</v>
      </c>
    </row>
    <row r="67" spans="1:3" ht="21">
      <c r="A67" s="52">
        <v>50</v>
      </c>
      <c r="B67" s="53" t="s">
        <v>992</v>
      </c>
      <c r="C67" s="54">
        <v>21491</v>
      </c>
    </row>
    <row r="68" spans="1:3" ht="21">
      <c r="A68" s="52">
        <v>9</v>
      </c>
      <c r="B68" s="53" t="s">
        <v>993</v>
      </c>
      <c r="C68" s="54">
        <v>1147788</v>
      </c>
    </row>
    <row r="69" spans="1:3" ht="21">
      <c r="A69" s="52">
        <v>49</v>
      </c>
      <c r="B69" s="53" t="s">
        <v>994</v>
      </c>
      <c r="C69" s="54">
        <v>27692</v>
      </c>
    </row>
    <row r="70" spans="1:3" ht="21">
      <c r="A70" s="52">
        <v>29</v>
      </c>
      <c r="B70" s="53" t="s">
        <v>995</v>
      </c>
      <c r="C70" s="54">
        <v>190345</v>
      </c>
    </row>
    <row r="71" spans="1:3" ht="21">
      <c r="A71" s="52">
        <v>10</v>
      </c>
      <c r="B71" s="53" t="s">
        <v>996</v>
      </c>
      <c r="C71" s="54">
        <v>990204</v>
      </c>
    </row>
    <row r="72" spans="1:3" ht="21">
      <c r="A72" s="52">
        <v>48</v>
      </c>
      <c r="B72" s="53" t="s">
        <v>997</v>
      </c>
      <c r="C72" s="54">
        <v>28060</v>
      </c>
    </row>
    <row r="73" spans="1:3" ht="21">
      <c r="A73" s="52">
        <v>35</v>
      </c>
      <c r="B73" s="53" t="s">
        <v>998</v>
      </c>
      <c r="C73" s="54">
        <v>136101</v>
      </c>
    </row>
    <row r="74" spans="1:3" ht="21">
      <c r="A74" s="52">
        <v>30</v>
      </c>
      <c r="B74" s="53" t="s">
        <v>999</v>
      </c>
      <c r="C74" s="54">
        <v>180580</v>
      </c>
    </row>
    <row r="75" spans="1:3" ht="21">
      <c r="A75" s="52">
        <v>52</v>
      </c>
      <c r="B75" s="53" t="s">
        <v>1000</v>
      </c>
      <c r="C75" s="54">
        <v>17930</v>
      </c>
    </row>
    <row r="76" spans="1:3" ht="21">
      <c r="A76" s="52">
        <v>11</v>
      </c>
      <c r="B76" s="53" t="s">
        <v>1001</v>
      </c>
      <c r="C76" s="54">
        <v>892458</v>
      </c>
    </row>
    <row r="77" spans="1:3" ht="21">
      <c r="A77" s="52">
        <v>33</v>
      </c>
      <c r="B77" s="53" t="s">
        <v>1002</v>
      </c>
      <c r="C77" s="54">
        <v>151090</v>
      </c>
    </row>
    <row r="78" spans="1:3" ht="21">
      <c r="A78" s="52">
        <v>40</v>
      </c>
      <c r="B78" s="53" t="s">
        <v>217</v>
      </c>
      <c r="C78" s="54">
        <v>64276</v>
      </c>
    </row>
    <row r="79" spans="1:3" ht="21">
      <c r="A79" s="52">
        <v>47</v>
      </c>
      <c r="B79" s="53" t="s">
        <v>1003</v>
      </c>
      <c r="C79" s="54">
        <v>30600</v>
      </c>
    </row>
    <row r="80" spans="1:3" ht="21">
      <c r="A80" s="52">
        <v>1</v>
      </c>
      <c r="B80" s="53" t="s">
        <v>1004</v>
      </c>
      <c r="C80" s="54">
        <v>10040682</v>
      </c>
    </row>
    <row r="81" spans="1:3" ht="21">
      <c r="A81" s="52">
        <v>32</v>
      </c>
      <c r="B81" s="53" t="s">
        <v>1005</v>
      </c>
      <c r="C81" s="54">
        <v>155925</v>
      </c>
    </row>
    <row r="82" spans="1:3" ht="21">
      <c r="A82" s="52">
        <v>26</v>
      </c>
      <c r="B82" s="53" t="s">
        <v>1006</v>
      </c>
      <c r="C82" s="54">
        <v>259441</v>
      </c>
    </row>
    <row r="83" spans="1:3" ht="21">
      <c r="A83" s="52">
        <v>53</v>
      </c>
      <c r="B83" s="53" t="s">
        <v>1007</v>
      </c>
      <c r="C83" s="54">
        <v>17319</v>
      </c>
    </row>
    <row r="84" spans="1:3" ht="21">
      <c r="A84" s="52">
        <v>38</v>
      </c>
      <c r="B84" s="53" t="s">
        <v>1008</v>
      </c>
      <c r="C84" s="54">
        <v>87110</v>
      </c>
    </row>
    <row r="85" spans="1:3" ht="21">
      <c r="A85" s="52">
        <v>24</v>
      </c>
      <c r="B85" s="53" t="s">
        <v>1009</v>
      </c>
      <c r="C85" s="54">
        <v>273661</v>
      </c>
    </row>
    <row r="86" spans="1:3" ht="21">
      <c r="A86" s="52">
        <v>56</v>
      </c>
      <c r="B86" s="53" t="s">
        <v>1010</v>
      </c>
      <c r="C86" s="54">
        <v>8853</v>
      </c>
    </row>
    <row r="87" spans="1:3" ht="21">
      <c r="A87" s="52">
        <v>54</v>
      </c>
      <c r="B87" s="53" t="s">
        <v>1011</v>
      </c>
      <c r="C87" s="54">
        <v>14395</v>
      </c>
    </row>
    <row r="88" spans="1:3" ht="21">
      <c r="A88" s="52">
        <v>21</v>
      </c>
      <c r="B88" s="53" t="s">
        <v>1012</v>
      </c>
      <c r="C88" s="54">
        <v>432977</v>
      </c>
    </row>
    <row r="89" spans="1:3" ht="21">
      <c r="A89" s="52">
        <v>34</v>
      </c>
      <c r="B89" s="53" t="s">
        <v>1013</v>
      </c>
      <c r="C89" s="54">
        <v>138572</v>
      </c>
    </row>
    <row r="90" spans="1:3" ht="21">
      <c r="A90" s="52">
        <v>36</v>
      </c>
      <c r="B90" s="53" t="s">
        <v>1014</v>
      </c>
      <c r="C90" s="54">
        <v>99417</v>
      </c>
    </row>
    <row r="91" spans="1:3" ht="21">
      <c r="A91" s="52">
        <v>3</v>
      </c>
      <c r="B91" s="53" t="s">
        <v>491</v>
      </c>
      <c r="C91" s="54">
        <v>3170345</v>
      </c>
    </row>
    <row r="92" spans="1:3" ht="21">
      <c r="A92" s="52">
        <v>22</v>
      </c>
      <c r="B92" s="53" t="s">
        <v>1015</v>
      </c>
      <c r="C92" s="54">
        <v>391799</v>
      </c>
    </row>
    <row r="93" spans="1:3" ht="21">
      <c r="A93" s="52">
        <v>51</v>
      </c>
      <c r="B93" s="53" t="s">
        <v>1016</v>
      </c>
      <c r="C93" s="54">
        <v>18844</v>
      </c>
    </row>
    <row r="94" spans="1:3" ht="21">
      <c r="A94" s="52">
        <v>4</v>
      </c>
      <c r="B94" s="53" t="s">
        <v>1017</v>
      </c>
      <c r="C94" s="54">
        <v>2437864</v>
      </c>
    </row>
    <row r="95" spans="1:3" ht="21">
      <c r="A95" s="52">
        <v>8</v>
      </c>
      <c r="B95" s="53" t="s">
        <v>1018</v>
      </c>
      <c r="C95" s="54">
        <v>1537948</v>
      </c>
    </row>
    <row r="96" spans="1:3" ht="21">
      <c r="A96" s="52">
        <v>42</v>
      </c>
      <c r="B96" s="53" t="s">
        <v>1019</v>
      </c>
      <c r="C96" s="54">
        <v>61547</v>
      </c>
    </row>
    <row r="97" spans="1:3" ht="21">
      <c r="A97" s="52">
        <v>5</v>
      </c>
      <c r="B97" s="53" t="s">
        <v>1020</v>
      </c>
      <c r="C97" s="54">
        <v>2162532</v>
      </c>
    </row>
    <row r="98" spans="1:3" ht="21">
      <c r="A98" s="52">
        <v>2</v>
      </c>
      <c r="B98" s="53" t="s">
        <v>1021</v>
      </c>
      <c r="C98" s="54">
        <v>3323970</v>
      </c>
    </row>
    <row r="99" spans="1:3" ht="21">
      <c r="A99" s="52">
        <v>12</v>
      </c>
      <c r="B99" s="53" t="s">
        <v>1022</v>
      </c>
      <c r="C99" s="54">
        <v>874784</v>
      </c>
    </row>
    <row r="100" spans="1:3" ht="21">
      <c r="A100" s="52">
        <v>15</v>
      </c>
      <c r="B100" s="53" t="s">
        <v>1023</v>
      </c>
      <c r="C100" s="54">
        <v>751615</v>
      </c>
    </row>
    <row r="101" spans="1:3" ht="21">
      <c r="A101" s="52">
        <v>23</v>
      </c>
      <c r="B101" s="53" t="s">
        <v>1024</v>
      </c>
      <c r="C101" s="54">
        <v>282517</v>
      </c>
    </row>
    <row r="102" spans="1:3" ht="21">
      <c r="A102" s="52">
        <v>14</v>
      </c>
      <c r="B102" s="53" t="s">
        <v>1025</v>
      </c>
      <c r="C102" s="54">
        <v>765623</v>
      </c>
    </row>
    <row r="103" spans="1:3" ht="21">
      <c r="A103" s="52">
        <v>19</v>
      </c>
      <c r="B103" s="53" t="s">
        <v>1026</v>
      </c>
      <c r="C103" s="54">
        <v>444895</v>
      </c>
    </row>
    <row r="104" spans="1:3" ht="21">
      <c r="A104" s="52">
        <v>6</v>
      </c>
      <c r="B104" s="53" t="s">
        <v>1027</v>
      </c>
      <c r="C104" s="54">
        <v>1924379</v>
      </c>
    </row>
    <row r="105" spans="1:3" ht="21">
      <c r="A105" s="52">
        <v>25</v>
      </c>
      <c r="B105" s="53" t="s">
        <v>981</v>
      </c>
      <c r="C105" s="54">
        <v>273170</v>
      </c>
    </row>
    <row r="106" spans="1:3" ht="21">
      <c r="A106" s="52">
        <v>31</v>
      </c>
      <c r="B106" s="53" t="s">
        <v>1028</v>
      </c>
      <c r="C106" s="54">
        <v>179267</v>
      </c>
    </row>
    <row r="107" spans="1:3" ht="21">
      <c r="A107" s="52">
        <v>57</v>
      </c>
      <c r="B107" s="53" t="s">
        <v>1029</v>
      </c>
      <c r="C107" s="54">
        <v>2898</v>
      </c>
    </row>
    <row r="108" spans="1:3" ht="21">
      <c r="A108" s="52">
        <v>45</v>
      </c>
      <c r="B108" s="53" t="s">
        <v>1030</v>
      </c>
      <c r="C108" s="54">
        <v>43516</v>
      </c>
    </row>
    <row r="109" spans="1:3" ht="21">
      <c r="A109" s="52">
        <v>20</v>
      </c>
      <c r="B109" s="53" t="s">
        <v>1031</v>
      </c>
      <c r="C109" s="54">
        <v>444538</v>
      </c>
    </row>
    <row r="110" spans="1:3" ht="21">
      <c r="A110" s="52">
        <v>17</v>
      </c>
      <c r="B110" s="53" t="s">
        <v>1032</v>
      </c>
      <c r="C110" s="54">
        <v>496801</v>
      </c>
    </row>
    <row r="111" spans="1:3" ht="21">
      <c r="A111" s="52">
        <v>16</v>
      </c>
      <c r="B111" s="53" t="s">
        <v>1033</v>
      </c>
      <c r="C111" s="54">
        <v>546235</v>
      </c>
    </row>
    <row r="112" spans="1:3" ht="21">
      <c r="A112" s="52">
        <v>37</v>
      </c>
      <c r="B112" s="53" t="s">
        <v>1034</v>
      </c>
      <c r="C112" s="54">
        <v>96315</v>
      </c>
    </row>
    <row r="113" spans="1:3" ht="21">
      <c r="A113" s="52">
        <v>41</v>
      </c>
      <c r="B113" s="53" t="s">
        <v>1035</v>
      </c>
      <c r="C113" s="54">
        <v>64176</v>
      </c>
    </row>
    <row r="114" spans="1:3" ht="21">
      <c r="A114" s="52">
        <v>55</v>
      </c>
      <c r="B114" s="53" t="s">
        <v>533</v>
      </c>
      <c r="C114" s="54">
        <v>12541</v>
      </c>
    </row>
    <row r="115" spans="1:3" ht="21">
      <c r="A115" s="52">
        <v>18</v>
      </c>
      <c r="B115" s="53" t="s">
        <v>1036</v>
      </c>
      <c r="C115" s="54">
        <v>463955</v>
      </c>
    </row>
    <row r="116" spans="1:3" ht="21">
      <c r="A116" s="52">
        <v>43</v>
      </c>
      <c r="B116" s="53" t="s">
        <v>1037</v>
      </c>
      <c r="C116" s="54">
        <v>54147</v>
      </c>
    </row>
    <row r="117" spans="1:3" ht="21">
      <c r="A117" s="52">
        <v>13</v>
      </c>
      <c r="B117" s="53" t="s">
        <v>1038</v>
      </c>
      <c r="C117" s="54">
        <v>845599</v>
      </c>
    </row>
    <row r="118" spans="1:3" ht="21">
      <c r="A118" s="52">
        <v>28</v>
      </c>
      <c r="B118" s="53" t="s">
        <v>1039</v>
      </c>
      <c r="C118" s="54">
        <v>218774</v>
      </c>
    </row>
    <row r="119" spans="1:3" ht="21">
      <c r="A119" s="52">
        <v>39</v>
      </c>
      <c r="B119" s="53" t="s">
        <v>1040</v>
      </c>
      <c r="C119" s="54">
        <v>77524</v>
      </c>
    </row>
  </sheetData>
  <hyperlinks>
    <hyperlink ref="B80" r:id="rId1" display="https://www.california-demographics.com/los-angeles-county-demographics" xr:uid="{3D9F8B48-5633-9E43-AD99-741669411611}"/>
    <hyperlink ref="B98" r:id="rId2" display="https://www.california-demographics.com/san-diego-county-demographics" xr:uid="{B94E7D9D-B8DF-3B47-A77E-BC271038B162}"/>
    <hyperlink ref="B91" r:id="rId3" display="https://www.california-demographics.com/orange-county-demographics" xr:uid="{95948BCF-35B6-0347-80D3-651A5009BBE7}"/>
    <hyperlink ref="B94" r:id="rId4" display="https://www.california-demographics.com/riverside-county-demographics" xr:uid="{D8F6D043-3DE4-B34A-ADB3-353FB241BEAC}"/>
    <hyperlink ref="B97" r:id="rId5" display="https://www.california-demographics.com/san-bernardino-county-demographics" xr:uid="{E2C2ABBF-C57D-FF45-9C62-CAD33EF628DD}"/>
    <hyperlink ref="B104" r:id="rId6" display="https://www.california-demographics.com/santa-clara-county-demographics" xr:uid="{F72F1AD9-3413-9E47-A826-BB8F7A030413}"/>
    <hyperlink ref="B62" r:id="rId7" display="https://www.california-demographics.com/alameda-county-demographics" xr:uid="{8978B015-13FB-1649-AF2F-F36C8C969A03}"/>
    <hyperlink ref="B95" r:id="rId8" display="https://www.california-demographics.com/sacramento-county-demographics" xr:uid="{A7F1072F-FBAE-4842-AFB8-FF7433AA3BE0}"/>
    <hyperlink ref="B68" r:id="rId9" display="https://www.california-demographics.com/contra-costa-county-demographics" xr:uid="{5D4AE8B4-5AFA-2E4E-B63F-77DE565CB046}"/>
    <hyperlink ref="B71" r:id="rId10" display="https://www.california-demographics.com/fresno-county-demographics" xr:uid="{F33C41F4-80A5-4849-B418-6339ED9B6EC6}"/>
    <hyperlink ref="B76" r:id="rId11" display="https://www.california-demographics.com/kern-county-demographics" xr:uid="{4F4A7C24-B01E-F44D-8C7B-9B0393B45147}"/>
    <hyperlink ref="B99" r:id="rId12" display="https://www.california-demographics.com/san-francisco-county-demographics" xr:uid="{BAD806A3-2272-1D4A-BFB8-8B6CB631F041}"/>
    <hyperlink ref="B117" r:id="rId13" display="https://www.california-demographics.com/ventura-county-demographics" xr:uid="{88F67422-40AC-EC4E-B3B6-8457449A3844}"/>
    <hyperlink ref="B102" r:id="rId14" display="https://www.california-demographics.com/san-mateo-county-demographics" xr:uid="{CBDF812E-27C3-0043-98AA-087F65B62F45}"/>
    <hyperlink ref="B100" r:id="rId15" display="https://www.california-demographics.com/san-joaquin-county-demographics" xr:uid="{2474BF48-41DD-C745-AA4D-5D37D020961F}"/>
    <hyperlink ref="B111" r:id="rId16" display="https://www.california-demographics.com/stanislaus-county-demographics" xr:uid="{5D307935-022D-114F-9689-2B82CF9E5B96}"/>
    <hyperlink ref="B110" r:id="rId17" display="https://www.california-demographics.com/sonoma-county-demographics" xr:uid="{E670AA64-255F-4C48-9173-D72FE166E712}"/>
    <hyperlink ref="B115" r:id="rId18" display="https://www.california-demographics.com/tulare-county-demographics" xr:uid="{1D3ABABF-6585-9141-BC8D-976B9D1A75DD}"/>
    <hyperlink ref="B103" r:id="rId19" display="https://www.california-demographics.com/santa-barbara-county-demographics" xr:uid="{7F2097A2-3F1A-474E-948E-F9B99574A7BF}"/>
    <hyperlink ref="B109" r:id="rId20" display="https://www.california-demographics.com/solano-county-demographics" xr:uid="{FAD2C7C8-0E91-564D-89A6-8E36B342BF0A}"/>
    <hyperlink ref="B88" r:id="rId21" display="https://www.california-demographics.com/monterey-county-demographics" xr:uid="{F39A76C5-5A53-B144-88EC-2EAFBFC0FA34}"/>
    <hyperlink ref="B92" r:id="rId22" display="https://www.california-demographics.com/placer-county-demographics" xr:uid="{65A2F88E-3CC5-3C4C-ABF4-DB02C6B6EA8E}"/>
    <hyperlink ref="B101" r:id="rId23" display="https://www.california-demographics.com/san-luis-obispo-county-demographics" xr:uid="{4BA7843B-9CBD-9448-BD4A-F57607D7A128}"/>
    <hyperlink ref="B85" r:id="rId24" display="https://www.california-demographics.com/merced-county-demographics" xr:uid="{A605CC66-50DB-914E-8BE1-67D3B7063E84}"/>
    <hyperlink ref="B105" r:id="rId25" display="https://www.california-demographics.com/santa-cruz-county-demographics" xr:uid="{455EAECA-8600-3A47-B3B6-81812CA5E613}"/>
    <hyperlink ref="B82" r:id="rId26" display="https://www.california-demographics.com/marin-county-demographics" xr:uid="{E8B22FEB-1970-8049-BBB0-C5EE9DF4D9B0}"/>
    <hyperlink ref="B65" r:id="rId27" display="https://www.california-demographics.com/butte-county-demographics" xr:uid="{4F2AC2F8-63D3-DD41-9949-4C8C1F306060}"/>
    <hyperlink ref="B118" r:id="rId28" display="https://www.california-demographics.com/yolo-county-demographics" xr:uid="{45373EEA-13F7-5F43-8B68-83B6E906AB8E}"/>
    <hyperlink ref="B70" r:id="rId29" display="https://www.california-demographics.com/el-dorado-county-demographics" xr:uid="{36D8160D-1898-784D-9996-CE31179F9E54}"/>
    <hyperlink ref="B74" r:id="rId30" display="https://www.california-demographics.com/imperial-county-demographics" xr:uid="{5D05354B-5C2A-714B-BC60-8DC968A45497}"/>
    <hyperlink ref="B106" r:id="rId31" display="https://www.california-demographics.com/shasta-county-demographics" xr:uid="{AB3FEE9F-B3C6-5B49-AF24-D26B6C296975}"/>
    <hyperlink ref="B81" r:id="rId32" display="https://www.california-demographics.com/madera-county-demographics" xr:uid="{B02709CF-F920-894E-9ECA-8F77F2F5FA50}"/>
    <hyperlink ref="B77" r:id="rId33" display="https://www.california-demographics.com/kings-county-demographics" xr:uid="{14EE0539-1F12-D847-9CD1-D81E285CDCC4}"/>
    <hyperlink ref="B89" r:id="rId34" display="https://www.california-demographics.com/napa-county-demographics" xr:uid="{1BC01BB0-A30B-E742-A4BE-3473A36E0322}"/>
    <hyperlink ref="B73" r:id="rId35" display="https://www.california-demographics.com/humboldt-county-demographics" xr:uid="{52D5EF81-C8C6-C040-83E1-8648A0614055}"/>
    <hyperlink ref="B90" r:id="rId36" display="https://www.california-demographics.com/nevada-county-demographics" xr:uid="{D7F90F9B-A9A4-ED4A-94D9-6B4493B98A0C}"/>
    <hyperlink ref="B112" r:id="rId37" display="https://www.california-demographics.com/sutter-county-demographics" xr:uid="{95168D7D-6F13-9745-BFFF-68035857ECD7}"/>
    <hyperlink ref="B84" r:id="rId38" display="https://www.california-demographics.com/mendocino-county-demographics" xr:uid="{0E529DA8-DA2D-4749-82E8-239659F8A8C2}"/>
    <hyperlink ref="B119" r:id="rId39" display="https://www.california-demographics.com/yuba-county-demographics" xr:uid="{5BB93334-1591-C04F-94DB-98AD56D4EB42}"/>
    <hyperlink ref="B78" r:id="rId40" display="https://www.california-demographics.com/lake-county-demographics" xr:uid="{96D420B7-6CD8-5346-8E04-F543DB5B338A}"/>
    <hyperlink ref="B113" r:id="rId41" display="https://www.california-demographics.com/tehama-county-demographics" xr:uid="{3BC3E8E9-CCE9-1347-89AE-F5953CB08152}"/>
    <hyperlink ref="B96" r:id="rId42" display="https://www.california-demographics.com/san-benito-county-demographics" xr:uid="{5C349B03-439D-8345-B05C-FE2B304D570A}"/>
    <hyperlink ref="B116" r:id="rId43" display="https://www.california-demographics.com/tuolumne-county-demographics" xr:uid="{9A805E11-0501-5240-9BB9-73908E755FD2}"/>
    <hyperlink ref="B66" r:id="rId44" display="https://www.california-demographics.com/calaveras-county-demographics" xr:uid="{ABFEB8DC-F6C5-DA41-82C2-6CF781324ADB}"/>
    <hyperlink ref="B108" r:id="rId45" display="https://www.california-demographics.com/siskiyou-county-demographics" xr:uid="{B5D92A3A-F215-1C45-AF41-409DE181AA6A}"/>
    <hyperlink ref="B64" r:id="rId46" display="https://www.california-demographics.com/amador-county-demographics" xr:uid="{2E709440-22DC-CF46-B3F5-EF6169596A80}"/>
    <hyperlink ref="B79" r:id="rId47" display="https://www.california-demographics.com/lassen-county-demographics" xr:uid="{7E1C5C8B-854F-D741-8D46-F11BAB4EC17F}"/>
    <hyperlink ref="B72" r:id="rId48" display="https://www.california-demographics.com/glenn-county-demographics" xr:uid="{A8A57C15-73D4-DF43-8735-D44376C8F01D}"/>
    <hyperlink ref="B69" r:id="rId49" display="https://www.california-demographics.com/del-norte-county-demographics" xr:uid="{FFB91043-A832-FD40-8F12-603EC6406B5B}"/>
    <hyperlink ref="B67" r:id="rId50" display="https://www.california-demographics.com/colusa-county-demographics" xr:uid="{5BE210F1-E7CF-0B44-8F24-3B709C882950}"/>
    <hyperlink ref="B93" r:id="rId51" display="https://www.california-demographics.com/plumas-county-demographics" xr:uid="{0A4C8084-C3C7-8143-9DE9-0309F3AAD046}"/>
    <hyperlink ref="B75" r:id="rId52" display="https://www.california-demographics.com/inyo-county-demographics" xr:uid="{D56D3D35-61A0-0344-813B-B356C417A0D4}"/>
    <hyperlink ref="B83" r:id="rId53" display="https://www.california-demographics.com/mariposa-county-demographics" xr:uid="{1BC572CA-40D1-BC41-8C24-59CB024BE4BF}"/>
    <hyperlink ref="B87" r:id="rId54" display="https://www.california-demographics.com/mono-county-demographics" xr:uid="{BBAB150C-18DB-7D4A-8008-229D67C19F14}"/>
    <hyperlink ref="B114" r:id="rId55" display="https://www.california-demographics.com/trinity-county-demographics" xr:uid="{5BDBC0F6-EF22-EA4C-8603-A420810FB8DF}"/>
    <hyperlink ref="B86" r:id="rId56" display="https://www.california-demographics.com/modoc-county-demographics" xr:uid="{3FA7B13C-DF5B-FC47-9347-07821B8D569F}"/>
    <hyperlink ref="B107" r:id="rId57" display="https://www.california-demographics.com/sierra-county-demographics" xr:uid="{08A77D8E-E49D-214B-B112-5B31EFBDF8E3}"/>
    <hyperlink ref="B63" r:id="rId58" display="https://www.california-demographics.com/alpine-county-demographics" xr:uid="{9ED582A4-328F-9147-8F34-14B5CD9B598B}"/>
  </hyperlinks>
  <pageMargins left="0.7" right="0.7" top="0.75" bottom="0.75" header="0.3" footer="0.3"/>
  <tableParts count="3">
    <tablePart r:id="rId59"/>
    <tablePart r:id="rId60"/>
    <tablePart r:id="rId6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912A-3971-C844-8983-B71EBADC1220}">
  <dimension ref="A1:S131"/>
  <sheetViews>
    <sheetView topLeftCell="B1" workbookViewId="0">
      <selection activeCell="F2" sqref="F2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8" max="8" width="12.1640625" customWidth="1"/>
    <col min="9" max="9" width="17.33203125" customWidth="1"/>
    <col min="10" max="10" width="12" style="1" customWidth="1"/>
    <col min="11" max="11" width="14.5" customWidth="1"/>
    <col min="12" max="12" width="18.33203125" customWidth="1"/>
    <col min="13" max="13" width="12" style="1" customWidth="1"/>
    <col min="14" max="14" width="15.5" customWidth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t="s">
        <v>1686</v>
      </c>
      <c r="H1" s="15" t="s">
        <v>165</v>
      </c>
      <c r="I1" s="15" t="s">
        <v>168</v>
      </c>
      <c r="J1" s="15" t="s">
        <v>1677</v>
      </c>
      <c r="K1" s="15" t="s">
        <v>169</v>
      </c>
      <c r="L1" s="15" t="s">
        <v>166</v>
      </c>
      <c r="M1" s="15" t="s">
        <v>1687</v>
      </c>
      <c r="N1" s="15" t="s">
        <v>167</v>
      </c>
      <c r="O1" s="15" t="s">
        <v>62</v>
      </c>
      <c r="R1" t="s">
        <v>267</v>
      </c>
      <c r="S1" t="s">
        <v>1196</v>
      </c>
    </row>
    <row r="2" spans="1:19" ht="20">
      <c r="A2" s="11" t="s">
        <v>69</v>
      </c>
      <c r="B2" s="12" t="s">
        <v>1094</v>
      </c>
      <c r="C2" s="11">
        <v>2019</v>
      </c>
      <c r="D2" s="11" t="s">
        <v>803</v>
      </c>
      <c r="E2" s="11">
        <v>14.5</v>
      </c>
      <c r="F2" s="64">
        <f t="shared" ref="F2:F26" si="0">(E2-MIN(E:E))/(MAX(E:E)-MIN(E:E))</f>
        <v>0.45367412140575075</v>
      </c>
      <c r="H2" s="16" t="s">
        <v>1144</v>
      </c>
      <c r="I2" s="17">
        <v>134202</v>
      </c>
      <c r="J2" s="20">
        <f>Table11[[#This Row],[BIDEN VOTES]]/C68</f>
        <v>0.26322169134088075</v>
      </c>
      <c r="K2" s="18">
        <v>0.56699999999999995</v>
      </c>
      <c r="L2" s="17">
        <v>95657</v>
      </c>
      <c r="M2" s="64">
        <f>Table11[[#This Row],[TRUMP VOTES]]/C68</f>
        <v>0.1876201347863268</v>
      </c>
      <c r="N2" s="18">
        <v>0.40400000000000003</v>
      </c>
      <c r="O2" s="21">
        <f>1-(Table11[[#This Row],[NbP]]+Table11[[#This Row],[NbP2]])</f>
        <v>0.54915817387279242</v>
      </c>
      <c r="Q2" t="s">
        <v>326</v>
      </c>
      <c r="R2">
        <f>CORREL(F:F,J:J)</f>
        <v>-0.3717949637118701</v>
      </c>
      <c r="S2">
        <v>0.01</v>
      </c>
    </row>
    <row r="3" spans="1:19" ht="20">
      <c r="A3" s="13" t="s">
        <v>69</v>
      </c>
      <c r="B3" s="14" t="s">
        <v>1095</v>
      </c>
      <c r="C3" s="13">
        <v>2019</v>
      </c>
      <c r="D3" s="13" t="s">
        <v>803</v>
      </c>
      <c r="E3" s="13">
        <v>24.2</v>
      </c>
      <c r="F3" s="29">
        <f t="shared" si="0"/>
        <v>0.76357827476038331</v>
      </c>
      <c r="H3" s="16" t="s">
        <v>1145</v>
      </c>
      <c r="I3" s="17">
        <v>3759</v>
      </c>
      <c r="J3" s="20">
        <f>Table11[[#This Row],[BIDEN VOTES]]/C69</f>
        <v>0.23271218968612642</v>
      </c>
      <c r="K3" s="18">
        <v>0.48099999999999998</v>
      </c>
      <c r="L3" s="17">
        <v>3813</v>
      </c>
      <c r="M3" s="64">
        <f>Table11[[#This Row],[TRUMP VOTES]]/C69</f>
        <v>0.23605522194019687</v>
      </c>
      <c r="N3" s="18">
        <v>0.48799999999999999</v>
      </c>
      <c r="O3" s="21">
        <f>1-(Table11[[#This Row],[NbP]]+Table11[[#This Row],[NbP2]])</f>
        <v>0.53123258837367671</v>
      </c>
      <c r="Q3" t="s">
        <v>325</v>
      </c>
      <c r="R3">
        <f>CORREL(F:F,M:M)</f>
        <v>0.33105538857869399</v>
      </c>
      <c r="S3">
        <v>0.01</v>
      </c>
    </row>
    <row r="4" spans="1:19" ht="20">
      <c r="A4" s="11" t="s">
        <v>69</v>
      </c>
      <c r="B4" s="12" t="s">
        <v>1096</v>
      </c>
      <c r="C4" s="11">
        <v>2019</v>
      </c>
      <c r="D4" s="11" t="s">
        <v>803</v>
      </c>
      <c r="E4" s="11">
        <v>5.5</v>
      </c>
      <c r="F4" s="29">
        <f t="shared" si="0"/>
        <v>0.16613418530351437</v>
      </c>
      <c r="H4" s="16" t="s">
        <v>1146</v>
      </c>
      <c r="I4" s="17">
        <v>213607</v>
      </c>
      <c r="J4" s="20">
        <f>Table11[[#This Row],[BIDEN VOTES]]/C70</f>
        <v>0.32863626573125326</v>
      </c>
      <c r="K4" s="18">
        <v>0.61</v>
      </c>
      <c r="L4" s="17">
        <v>127323</v>
      </c>
      <c r="M4" s="64">
        <f>Table11[[#This Row],[TRUMP VOTES]]/C70</f>
        <v>0.19588756577125449</v>
      </c>
      <c r="N4" s="18">
        <v>0.36399999999999999</v>
      </c>
      <c r="O4" s="21">
        <f>1-(Table11[[#This Row],[NbP]]+Table11[[#This Row],[NbP2]])</f>
        <v>0.47547616849749219</v>
      </c>
      <c r="Q4" t="s">
        <v>822</v>
      </c>
      <c r="R4" s="37">
        <f>CORREL(F:F,O:O)</f>
        <v>8.087906446308972E-2</v>
      </c>
      <c r="S4">
        <v>0.1</v>
      </c>
    </row>
    <row r="5" spans="1:19" ht="20">
      <c r="A5" s="13" t="s">
        <v>69</v>
      </c>
      <c r="B5" s="14" t="s">
        <v>1097</v>
      </c>
      <c r="C5" s="13">
        <v>2019</v>
      </c>
      <c r="D5" s="13" t="s">
        <v>803</v>
      </c>
      <c r="E5" s="13">
        <v>8.8000000000000007</v>
      </c>
      <c r="F5" s="29">
        <f t="shared" si="0"/>
        <v>0.27156549520766771</v>
      </c>
      <c r="H5" s="16" t="s">
        <v>1147</v>
      </c>
      <c r="I5" s="17">
        <v>3738</v>
      </c>
      <c r="J5" s="20">
        <f>Table11[[#This Row],[BIDEN VOTES]]/C71</f>
        <v>0.27509567265234031</v>
      </c>
      <c r="K5" s="18">
        <v>0.40899999999999997</v>
      </c>
      <c r="L5" s="17">
        <v>5189</v>
      </c>
      <c r="M5" s="64">
        <f>Table11[[#This Row],[TRUMP VOTES]]/C71</f>
        <v>0.38188107153370621</v>
      </c>
      <c r="N5" s="18">
        <v>0.56699999999999995</v>
      </c>
      <c r="O5" s="21">
        <f>1-(Table11[[#This Row],[NbP]]+Table11[[#This Row],[NbP2]])</f>
        <v>0.34302325581395343</v>
      </c>
    </row>
    <row r="6" spans="1:19" ht="20">
      <c r="A6" s="11" t="s">
        <v>69</v>
      </c>
      <c r="B6" s="12" t="s">
        <v>1098</v>
      </c>
      <c r="C6" s="11">
        <v>2019</v>
      </c>
      <c r="D6" s="11" t="s">
        <v>803</v>
      </c>
      <c r="E6" s="11">
        <v>9.4</v>
      </c>
      <c r="F6" s="29">
        <f t="shared" si="0"/>
        <v>0.29073482428115016</v>
      </c>
      <c r="H6" s="16" t="s">
        <v>1148</v>
      </c>
      <c r="I6" s="19">
        <v>317</v>
      </c>
      <c r="J6" s="20">
        <f>Table11[[#This Row],[BIDEN VOTES]]/C72</f>
        <v>8.8795518207282917E-2</v>
      </c>
      <c r="K6" s="18">
        <v>0.14199999999999999</v>
      </c>
      <c r="L6" s="17">
        <v>1867</v>
      </c>
      <c r="M6" s="64">
        <f>Table11[[#This Row],[TRUMP VOTES]]/C72</f>
        <v>0.52296918767507006</v>
      </c>
      <c r="N6" s="18">
        <v>0.83899999999999997</v>
      </c>
      <c r="O6" s="21">
        <f>1-(Table11[[#This Row],[NbP]]+Table11[[#This Row],[NbP2]])</f>
        <v>0.38823529411764701</v>
      </c>
    </row>
    <row r="7" spans="1:19" ht="20">
      <c r="A7" s="13" t="s">
        <v>69</v>
      </c>
      <c r="B7" s="14" t="s">
        <v>1099</v>
      </c>
      <c r="C7" s="13">
        <v>2019</v>
      </c>
      <c r="D7" s="13" t="s">
        <v>803</v>
      </c>
      <c r="E7" s="13">
        <v>3.2</v>
      </c>
      <c r="F7" s="29">
        <f t="shared" si="0"/>
        <v>9.2651757188498413E-2</v>
      </c>
      <c r="H7" s="16" t="s">
        <v>1149</v>
      </c>
      <c r="I7" s="19">
        <v>732</v>
      </c>
      <c r="J7" s="20">
        <f>Table11[[#This Row],[BIDEN VOTES]]/C73</f>
        <v>0.12894134225823498</v>
      </c>
      <c r="K7" s="18">
        <v>0.32200000000000001</v>
      </c>
      <c r="L7" s="17">
        <v>1503</v>
      </c>
      <c r="M7" s="64">
        <f>Table11[[#This Row],[TRUMP VOTES]]/C73</f>
        <v>0.26475251012858902</v>
      </c>
      <c r="N7" s="18">
        <v>0.66100000000000003</v>
      </c>
      <c r="O7" s="21">
        <f>1-(Table11[[#This Row],[NbP]]+Table11[[#This Row],[NbP2]])</f>
        <v>0.60630614761317603</v>
      </c>
    </row>
    <row r="8" spans="1:19" ht="20">
      <c r="A8" s="11" t="s">
        <v>69</v>
      </c>
      <c r="B8" s="12" t="s">
        <v>1100</v>
      </c>
      <c r="C8" s="11">
        <v>2019</v>
      </c>
      <c r="D8" s="11" t="s">
        <v>803</v>
      </c>
      <c r="E8" s="11">
        <v>4.4000000000000004</v>
      </c>
      <c r="F8" s="29">
        <f t="shared" si="0"/>
        <v>0.13099041533546327</v>
      </c>
      <c r="H8" s="16" t="s">
        <v>1150</v>
      </c>
      <c r="I8" s="17">
        <v>159089</v>
      </c>
      <c r="J8" s="20">
        <f>Table11[[#This Row],[BIDEN VOTES]]/C74</f>
        <v>0.4899840459280157</v>
      </c>
      <c r="K8" s="18">
        <v>0.77200000000000002</v>
      </c>
      <c r="L8" s="17">
        <v>42501</v>
      </c>
      <c r="M8" s="64">
        <f>Table11[[#This Row],[TRUMP VOTES]]/C74</f>
        <v>0.13090038868800857</v>
      </c>
      <c r="N8" s="18">
        <v>0.20599999999999999</v>
      </c>
      <c r="O8" s="21">
        <f>1-(Table11[[#This Row],[NbP]]+Table11[[#This Row],[NbP2]])</f>
        <v>0.37911556538397573</v>
      </c>
    </row>
    <row r="9" spans="1:19" ht="20">
      <c r="A9" s="13" t="s">
        <v>69</v>
      </c>
      <c r="B9" s="14" t="s">
        <v>1101</v>
      </c>
      <c r="C9" s="13">
        <v>2019</v>
      </c>
      <c r="D9" s="13" t="s">
        <v>803</v>
      </c>
      <c r="E9" s="13">
        <v>4.7</v>
      </c>
      <c r="F9" s="29">
        <f t="shared" si="0"/>
        <v>0.14057507987220449</v>
      </c>
      <c r="H9" s="16" t="s">
        <v>1194</v>
      </c>
      <c r="I9" s="17">
        <v>29077</v>
      </c>
      <c r="J9" s="20">
        <f>Table11[[#This Row],[BIDEN VOTES]]/C75</f>
        <v>0.41871147975347039</v>
      </c>
      <c r="K9" s="18">
        <v>0.624</v>
      </c>
      <c r="L9" s="17">
        <v>16295</v>
      </c>
      <c r="M9" s="64">
        <f>Table11[[#This Row],[TRUMP VOTES]]/C75</f>
        <v>0.23464950175681124</v>
      </c>
      <c r="N9" s="18">
        <v>0.34899999999999998</v>
      </c>
      <c r="O9" s="21">
        <f>1-(Table11[[#This Row],[NbP]]+Table11[[#This Row],[NbP2]])</f>
        <v>0.34663901848971834</v>
      </c>
    </row>
    <row r="10" spans="1:19" ht="20">
      <c r="A10" s="11" t="s">
        <v>69</v>
      </c>
      <c r="B10" s="12" t="s">
        <v>1102</v>
      </c>
      <c r="C10" s="11">
        <v>2019</v>
      </c>
      <c r="D10" s="11" t="s">
        <v>803</v>
      </c>
      <c r="E10" s="11">
        <v>0.3</v>
      </c>
      <c r="F10" s="29">
        <f t="shared" si="0"/>
        <v>0</v>
      </c>
      <c r="H10" s="16" t="s">
        <v>1151</v>
      </c>
      <c r="I10" s="17">
        <v>7160</v>
      </c>
      <c r="J10" s="20">
        <f>Table11[[#This Row],[BIDEN VOTES]]/C76</f>
        <v>0.35841217400010011</v>
      </c>
      <c r="K10" s="18">
        <v>0.52200000000000002</v>
      </c>
      <c r="L10" s="17">
        <v>6222</v>
      </c>
      <c r="M10" s="64">
        <f>Table11[[#This Row],[TRUMP VOTES]]/C76</f>
        <v>0.31145817690343897</v>
      </c>
      <c r="N10" s="18">
        <v>0.45400000000000001</v>
      </c>
      <c r="O10" s="21">
        <f>1-(Table11[[#This Row],[NbP]]+Table11[[#This Row],[NbP2]])</f>
        <v>0.33012964909646092</v>
      </c>
    </row>
    <row r="11" spans="1:19" ht="20">
      <c r="A11" s="13" t="s">
        <v>69</v>
      </c>
      <c r="B11" s="14" t="s">
        <v>1103</v>
      </c>
      <c r="C11" s="13">
        <v>2019</v>
      </c>
      <c r="D11" s="13" t="s">
        <v>803</v>
      </c>
      <c r="E11" s="13">
        <v>6.5</v>
      </c>
      <c r="F11" s="29">
        <f t="shared" si="0"/>
        <v>0.19808306709265175</v>
      </c>
      <c r="H11" s="16" t="s">
        <v>1152</v>
      </c>
      <c r="I11" s="19">
        <v>131</v>
      </c>
      <c r="J11" s="20">
        <f>Table11[[#This Row],[BIDEN VOTES]]/C77</f>
        <v>6.5532766383191596E-2</v>
      </c>
      <c r="K11" s="18">
        <v>0.115</v>
      </c>
      <c r="L11" s="19">
        <v>993</v>
      </c>
      <c r="M11" s="64">
        <f>Table11[[#This Row],[TRUMP VOTES]]/C77</f>
        <v>0.49674837418709356</v>
      </c>
      <c r="N11" s="18">
        <v>0.874</v>
      </c>
      <c r="O11" s="21">
        <f>1-(Table11[[#This Row],[NbP]]+Table11[[#This Row],[NbP2]])</f>
        <v>0.43771885942971489</v>
      </c>
    </row>
    <row r="12" spans="1:19" ht="20">
      <c r="A12" s="11" t="s">
        <v>69</v>
      </c>
      <c r="B12" s="12" t="s">
        <v>1104</v>
      </c>
      <c r="C12" s="11">
        <v>2019</v>
      </c>
      <c r="D12" s="11" t="s">
        <v>803</v>
      </c>
      <c r="E12" s="11">
        <v>3.6</v>
      </c>
      <c r="F12" s="29">
        <f t="shared" si="0"/>
        <v>0.10543130990415336</v>
      </c>
      <c r="H12" s="16" t="s">
        <v>1153</v>
      </c>
      <c r="I12" s="17">
        <v>3604</v>
      </c>
      <c r="J12" s="20">
        <f>Table11[[#This Row],[BIDEN VOTES]]/C78</f>
        <v>0.37805517675443195</v>
      </c>
      <c r="K12" s="18">
        <v>0.55000000000000004</v>
      </c>
      <c r="L12" s="17">
        <v>2754</v>
      </c>
      <c r="M12" s="64">
        <f>Table11[[#This Row],[TRUMP VOTES]]/C78</f>
        <v>0.28889121997272632</v>
      </c>
      <c r="N12" s="18">
        <v>0.42099999999999999</v>
      </c>
      <c r="O12" s="21">
        <f>1-(Table11[[#This Row],[NbP]]+Table11[[#This Row],[NbP2]])</f>
        <v>0.33305360327284173</v>
      </c>
    </row>
    <row r="13" spans="1:19" ht="20">
      <c r="A13" s="13" t="s">
        <v>69</v>
      </c>
      <c r="B13" s="14" t="s">
        <v>1105</v>
      </c>
      <c r="C13" s="13">
        <v>2019</v>
      </c>
      <c r="D13" s="13" t="s">
        <v>803</v>
      </c>
      <c r="E13" s="13">
        <v>10.3</v>
      </c>
      <c r="F13" s="29">
        <f t="shared" si="0"/>
        <v>0.31948881789137379</v>
      </c>
      <c r="H13" s="16" t="s">
        <v>1154</v>
      </c>
      <c r="I13" s="17">
        <v>1959</v>
      </c>
      <c r="J13" s="20">
        <f>Table11[[#This Row],[BIDEN VOTES]]/C79</f>
        <v>0.24095940959409595</v>
      </c>
      <c r="K13" s="18">
        <v>0.45200000000000001</v>
      </c>
      <c r="L13" s="17">
        <v>2286</v>
      </c>
      <c r="M13" s="64">
        <f>Table11[[#This Row],[TRUMP VOTES]]/C79</f>
        <v>0.2811808118081181</v>
      </c>
      <c r="N13" s="18">
        <v>0.52800000000000002</v>
      </c>
      <c r="O13" s="21">
        <f>1-(Table11[[#This Row],[NbP]]+Table11[[#This Row],[NbP2]])</f>
        <v>0.47785977859778594</v>
      </c>
    </row>
    <row r="14" spans="1:19" ht="20">
      <c r="A14" s="11" t="s">
        <v>69</v>
      </c>
      <c r="B14" s="12" t="s">
        <v>1106</v>
      </c>
      <c r="C14" s="11">
        <v>2019</v>
      </c>
      <c r="D14" s="11" t="s">
        <v>803</v>
      </c>
      <c r="E14" s="11">
        <v>22</v>
      </c>
      <c r="F14" s="29">
        <f t="shared" si="0"/>
        <v>0.69329073482428116</v>
      </c>
      <c r="H14" s="16" t="s">
        <v>1155</v>
      </c>
      <c r="I14" s="17">
        <v>1311</v>
      </c>
      <c r="J14" s="20">
        <f>Table11[[#This Row],[BIDEN VOTES]]/C80</f>
        <v>0.34409448818897637</v>
      </c>
      <c r="K14" s="18">
        <v>0.626</v>
      </c>
      <c r="L14" s="19">
        <v>741</v>
      </c>
      <c r="M14" s="64">
        <f>Table11[[#This Row],[TRUMP VOTES]]/C80</f>
        <v>0.19448818897637796</v>
      </c>
      <c r="N14" s="18">
        <v>0.35399999999999998</v>
      </c>
      <c r="O14" s="21">
        <f>1-(Table11[[#This Row],[NbP]]+Table11[[#This Row],[NbP2]])</f>
        <v>0.46141732283464565</v>
      </c>
    </row>
    <row r="15" spans="1:19" ht="20">
      <c r="A15" s="13" t="s">
        <v>69</v>
      </c>
      <c r="B15" s="14" t="s">
        <v>1107</v>
      </c>
      <c r="C15" s="13">
        <v>2019</v>
      </c>
      <c r="D15" s="13" t="s">
        <v>803</v>
      </c>
      <c r="E15" s="13">
        <v>4.9000000000000004</v>
      </c>
      <c r="F15" s="29">
        <f t="shared" si="0"/>
        <v>0.14696485623003197</v>
      </c>
      <c r="H15" s="16" t="s">
        <v>1156</v>
      </c>
      <c r="I15" s="19">
        <v>437</v>
      </c>
      <c r="J15" s="20">
        <f>Table11[[#This Row],[BIDEN VOTES]]/C81</f>
        <v>7.6225361939647657E-2</v>
      </c>
      <c r="K15" s="18">
        <v>0.25</v>
      </c>
      <c r="L15" s="17">
        <v>1271</v>
      </c>
      <c r="M15" s="64">
        <f>Table11[[#This Row],[TRUMP VOTES]]/C81</f>
        <v>0.22169893598465026</v>
      </c>
      <c r="N15" s="18">
        <v>0.72599999999999998</v>
      </c>
      <c r="O15" s="21">
        <f>1-(Table11[[#This Row],[NbP]]+Table11[[#This Row],[NbP2]])</f>
        <v>0.70207570207570202</v>
      </c>
    </row>
    <row r="16" spans="1:19" ht="20">
      <c r="A16" s="11" t="s">
        <v>69</v>
      </c>
      <c r="B16" s="12" t="s">
        <v>1108</v>
      </c>
      <c r="C16" s="11">
        <v>2019</v>
      </c>
      <c r="D16" s="11" t="s">
        <v>803</v>
      </c>
      <c r="E16" s="11">
        <v>23.5</v>
      </c>
      <c r="F16" s="29">
        <f t="shared" si="0"/>
        <v>0.74121405750798719</v>
      </c>
      <c r="H16" s="16" t="s">
        <v>1157</v>
      </c>
      <c r="I16" s="17">
        <v>1112</v>
      </c>
      <c r="J16" s="20">
        <f>Table11[[#This Row],[BIDEN VOTES]]/C82</f>
        <v>0.22505565674964581</v>
      </c>
      <c r="K16" s="18">
        <v>0.30599999999999999</v>
      </c>
      <c r="L16" s="17">
        <v>2474</v>
      </c>
      <c r="M16" s="64">
        <f>Table11[[#This Row],[TRUMP VOTES]]/C82</f>
        <v>0.50070835863185592</v>
      </c>
      <c r="N16" s="18">
        <v>0.68100000000000005</v>
      </c>
      <c r="O16" s="21">
        <f>1-(Table11[[#This Row],[NbP]]+Table11[[#This Row],[NbP2]])</f>
        <v>0.2742359846184983</v>
      </c>
    </row>
    <row r="17" spans="1:15" ht="20">
      <c r="A17" s="13" t="s">
        <v>69</v>
      </c>
      <c r="B17" s="14" t="s">
        <v>614</v>
      </c>
      <c r="C17" s="13">
        <v>2019</v>
      </c>
      <c r="D17" s="13" t="s">
        <v>803</v>
      </c>
      <c r="E17" s="13">
        <v>17.8</v>
      </c>
      <c r="F17" s="29">
        <f t="shared" si="0"/>
        <v>0.55910543130990409</v>
      </c>
      <c r="H17" s="16" t="s">
        <v>387</v>
      </c>
      <c r="I17" s="17">
        <v>5887</v>
      </c>
      <c r="J17" s="20">
        <f>Table11[[#This Row],[BIDEN VOTES]]/C83</f>
        <v>0.19139736003641328</v>
      </c>
      <c r="K17" s="18">
        <v>0.30399999999999999</v>
      </c>
      <c r="L17" s="17">
        <v>13081</v>
      </c>
      <c r="M17" s="64">
        <f>Table11[[#This Row],[TRUMP VOTES]]/C83</f>
        <v>0.42528773002145781</v>
      </c>
      <c r="N17" s="18">
        <v>0.67500000000000004</v>
      </c>
      <c r="O17" s="21">
        <f>1-(Table11[[#This Row],[NbP]]+Table11[[#This Row],[NbP2]])</f>
        <v>0.38331490994212891</v>
      </c>
    </row>
    <row r="18" spans="1:15" ht="20">
      <c r="A18" s="11" t="s">
        <v>69</v>
      </c>
      <c r="B18" s="12" t="s">
        <v>1109</v>
      </c>
      <c r="C18" s="11">
        <v>2019</v>
      </c>
      <c r="D18" s="11" t="s">
        <v>803</v>
      </c>
      <c r="E18" s="11">
        <v>14.1</v>
      </c>
      <c r="F18" s="29">
        <f t="shared" si="0"/>
        <v>0.4408945686900958</v>
      </c>
      <c r="H18" s="16" t="s">
        <v>1158</v>
      </c>
      <c r="I18" s="17">
        <v>313293</v>
      </c>
      <c r="J18" s="20">
        <f>Table11[[#This Row],[BIDEN VOTES]]/C84</f>
        <v>0.43763462489418586</v>
      </c>
      <c r="K18" s="18">
        <v>0.79600000000000004</v>
      </c>
      <c r="L18" s="17">
        <v>71618</v>
      </c>
      <c r="M18" s="64">
        <f>Table11[[#This Row],[TRUMP VOTES]]/C84</f>
        <v>0.10004218595906006</v>
      </c>
      <c r="N18" s="18">
        <v>0.182</v>
      </c>
      <c r="O18" s="21">
        <f>1-(Table11[[#This Row],[NbP]]+Table11[[#This Row],[NbP2]])</f>
        <v>0.46232318914675408</v>
      </c>
    </row>
    <row r="19" spans="1:15" ht="20">
      <c r="A19" s="13" t="s">
        <v>69</v>
      </c>
      <c r="B19" s="14" t="s">
        <v>1110</v>
      </c>
      <c r="C19" s="13">
        <v>2019</v>
      </c>
      <c r="D19" s="13" t="s">
        <v>803</v>
      </c>
      <c r="E19" s="13">
        <v>7</v>
      </c>
      <c r="F19" s="29">
        <f t="shared" si="0"/>
        <v>0.21405750798722045</v>
      </c>
      <c r="H19" s="16" t="s">
        <v>1159</v>
      </c>
      <c r="I19" s="19">
        <v>341</v>
      </c>
      <c r="J19" s="20">
        <f>Table11[[#This Row],[BIDEN VOTES]]/C85</f>
        <v>0.17985232067510548</v>
      </c>
      <c r="K19" s="18">
        <v>0.23499999999999999</v>
      </c>
      <c r="L19" s="17">
        <v>1089</v>
      </c>
      <c r="M19" s="64">
        <f>Table11[[#This Row],[TRUMP VOTES]]/C85</f>
        <v>0.57436708860759489</v>
      </c>
      <c r="N19" s="18">
        <v>0.752</v>
      </c>
      <c r="O19" s="21">
        <f>1-(Table11[[#This Row],[NbP]]+Table11[[#This Row],[NbP2]])</f>
        <v>0.24578059071729963</v>
      </c>
    </row>
    <row r="20" spans="1:15" ht="20">
      <c r="A20" s="11" t="s">
        <v>69</v>
      </c>
      <c r="B20" s="12" t="s">
        <v>315</v>
      </c>
      <c r="C20" s="11">
        <v>2019</v>
      </c>
      <c r="D20" s="11" t="s">
        <v>803</v>
      </c>
      <c r="E20" s="11">
        <v>4.9000000000000004</v>
      </c>
      <c r="F20" s="29">
        <f t="shared" si="0"/>
        <v>0.14696485623003197</v>
      </c>
      <c r="H20" s="16" t="s">
        <v>276</v>
      </c>
      <c r="I20" s="17">
        <v>104653</v>
      </c>
      <c r="J20" s="20">
        <f>Table11[[#This Row],[BIDEN VOTES]]/C86</f>
        <v>0.30397641454629953</v>
      </c>
      <c r="K20" s="18">
        <v>0.45200000000000001</v>
      </c>
      <c r="L20" s="17">
        <v>121270</v>
      </c>
      <c r="M20" s="64">
        <f>Table11[[#This Row],[TRUMP VOTES]]/C86</f>
        <v>0.35224236086906008</v>
      </c>
      <c r="N20" s="18">
        <v>0.52400000000000002</v>
      </c>
      <c r="O20" s="21">
        <f>1-(Table11[[#This Row],[NbP]]+Table11[[#This Row],[NbP2]])</f>
        <v>0.34378122458464033</v>
      </c>
    </row>
    <row r="21" spans="1:15" ht="20">
      <c r="A21" s="13" t="s">
        <v>69</v>
      </c>
      <c r="B21" s="14" t="s">
        <v>1111</v>
      </c>
      <c r="C21" s="13">
        <v>2019</v>
      </c>
      <c r="D21" s="13" t="s">
        <v>803</v>
      </c>
      <c r="E21" s="13">
        <v>4.3</v>
      </c>
      <c r="F21" s="29">
        <f t="shared" si="0"/>
        <v>0.12779552715654952</v>
      </c>
      <c r="H21" s="16" t="s">
        <v>1160</v>
      </c>
      <c r="I21" s="17">
        <v>18588</v>
      </c>
      <c r="J21" s="20">
        <f>Table11[[#This Row],[BIDEN VOTES]]/C87</f>
        <v>0.33820960698689956</v>
      </c>
      <c r="K21" s="18">
        <v>0.63800000000000001</v>
      </c>
      <c r="L21" s="17">
        <v>9892</v>
      </c>
      <c r="M21" s="64">
        <f>Table11[[#This Row],[TRUMP VOTES]]/C87</f>
        <v>0.1799854439592431</v>
      </c>
      <c r="N21" s="18">
        <v>0.33900000000000002</v>
      </c>
      <c r="O21" s="21">
        <f>1-(Table11[[#This Row],[NbP]]+Table11[[#This Row],[NbP2]])</f>
        <v>0.4818049490538574</v>
      </c>
    </row>
    <row r="22" spans="1:15" ht="20">
      <c r="A22" s="11" t="s">
        <v>69</v>
      </c>
      <c r="B22" s="12" t="s">
        <v>1112</v>
      </c>
      <c r="C22" s="11">
        <v>2019</v>
      </c>
      <c r="D22" s="11" t="s">
        <v>803</v>
      </c>
      <c r="E22" s="11">
        <v>4.2</v>
      </c>
      <c r="F22" s="29">
        <f t="shared" si="0"/>
        <v>0.12460063897763579</v>
      </c>
      <c r="H22" s="16" t="s">
        <v>398</v>
      </c>
      <c r="I22" s="17">
        <v>161941</v>
      </c>
      <c r="J22" s="20">
        <f>Table11[[#This Row],[BIDEN VOTES]]/C88</f>
        <v>0.22792572544085213</v>
      </c>
      <c r="K22" s="18">
        <v>0.42699999999999999</v>
      </c>
      <c r="L22" s="17">
        <v>202828</v>
      </c>
      <c r="M22" s="64">
        <f>Table11[[#This Row],[TRUMP VOTES]]/C88</f>
        <v>0.28547260446531242</v>
      </c>
      <c r="N22" s="18">
        <v>0.53500000000000003</v>
      </c>
      <c r="O22" s="21">
        <f>1-(Table11[[#This Row],[NbP]]+Table11[[#This Row],[NbP2]])</f>
        <v>0.48660167009383548</v>
      </c>
    </row>
    <row r="23" spans="1:15" ht="20">
      <c r="A23" s="13" t="s">
        <v>69</v>
      </c>
      <c r="B23" s="14" t="s">
        <v>625</v>
      </c>
      <c r="C23" s="13">
        <v>2019</v>
      </c>
      <c r="D23" s="13" t="s">
        <v>803</v>
      </c>
      <c r="E23" s="13">
        <v>14.9</v>
      </c>
      <c r="F23" s="29">
        <f t="shared" si="0"/>
        <v>0.4664536741214057</v>
      </c>
      <c r="H23" s="16" t="s">
        <v>1161</v>
      </c>
      <c r="I23" s="17">
        <v>4490</v>
      </c>
      <c r="J23" s="20">
        <f>Table11[[#This Row],[BIDEN VOTES]]/C89</f>
        <v>0.17117804041174228</v>
      </c>
      <c r="K23" s="18">
        <v>0.23699999999999999</v>
      </c>
      <c r="L23" s="17">
        <v>14027</v>
      </c>
      <c r="M23" s="64">
        <f>Table11[[#This Row],[TRUMP VOTES]]/C89</f>
        <v>0.53476934807472365</v>
      </c>
      <c r="N23" s="18">
        <v>0.73899999999999999</v>
      </c>
      <c r="O23" s="21">
        <f>1-(Table11[[#This Row],[NbP]]+Table11[[#This Row],[NbP2]])</f>
        <v>0.29405261151353401</v>
      </c>
    </row>
    <row r="24" spans="1:15" ht="20">
      <c r="A24" s="11" t="s">
        <v>69</v>
      </c>
      <c r="B24" s="12" t="s">
        <v>1113</v>
      </c>
      <c r="C24" s="11">
        <v>2019</v>
      </c>
      <c r="D24" s="11" t="s">
        <v>803</v>
      </c>
      <c r="E24" s="11">
        <v>5.8</v>
      </c>
      <c r="F24" s="29">
        <f t="shared" si="0"/>
        <v>0.1757188498402556</v>
      </c>
      <c r="H24" s="16" t="s">
        <v>1162</v>
      </c>
      <c r="I24" s="17">
        <v>7369</v>
      </c>
      <c r="J24" s="20">
        <f>Table11[[#This Row],[BIDEN VOTES]]/C90</f>
        <v>0.15440544787847041</v>
      </c>
      <c r="K24" s="18">
        <v>0.28799999999999998</v>
      </c>
      <c r="L24" s="17">
        <v>17517</v>
      </c>
      <c r="M24" s="64">
        <f>Table11[[#This Row],[TRUMP VOTES]]/C90</f>
        <v>0.36704033525405971</v>
      </c>
      <c r="N24" s="18">
        <v>0.68500000000000005</v>
      </c>
      <c r="O24" s="21">
        <f>1-(Table11[[#This Row],[NbP]]+Table11[[#This Row],[NbP2]])</f>
        <v>0.47855421686746991</v>
      </c>
    </row>
    <row r="25" spans="1:15" ht="20">
      <c r="A25" s="13" t="s">
        <v>69</v>
      </c>
      <c r="B25" s="14" t="s">
        <v>1114</v>
      </c>
      <c r="C25" s="13">
        <v>2019</v>
      </c>
      <c r="D25" s="13" t="s">
        <v>803</v>
      </c>
      <c r="E25" s="13">
        <v>7.6</v>
      </c>
      <c r="F25" s="29">
        <f t="shared" si="0"/>
        <v>0.23322683706070285</v>
      </c>
      <c r="H25" s="16" t="s">
        <v>1163</v>
      </c>
      <c r="I25" s="17">
        <v>15427</v>
      </c>
      <c r="J25" s="20">
        <f>Table11[[#This Row],[BIDEN VOTES]]/C91</f>
        <v>0.25882056874423287</v>
      </c>
      <c r="K25" s="18">
        <v>0.499</v>
      </c>
      <c r="L25" s="17">
        <v>14717</v>
      </c>
      <c r="M25" s="64">
        <f>Table11[[#This Row],[TRUMP VOTES]]/C91</f>
        <v>0.24690881637446524</v>
      </c>
      <c r="N25" s="18">
        <v>0.47599999999999998</v>
      </c>
      <c r="O25" s="21">
        <f>1-(Table11[[#This Row],[NbP]]+Table11[[#This Row],[NbP2]])</f>
        <v>0.49427061488130186</v>
      </c>
    </row>
    <row r="26" spans="1:15" ht="20">
      <c r="A26" s="11" t="s">
        <v>69</v>
      </c>
      <c r="B26" s="12" t="s">
        <v>1115</v>
      </c>
      <c r="C26" s="11">
        <v>2019</v>
      </c>
      <c r="D26" s="11" t="s">
        <v>803</v>
      </c>
      <c r="E26" s="11">
        <v>4.5</v>
      </c>
      <c r="F26" s="29">
        <f t="shared" si="0"/>
        <v>0.13418530351437699</v>
      </c>
      <c r="H26" s="16" t="s">
        <v>1164</v>
      </c>
      <c r="I26" s="17">
        <v>2223</v>
      </c>
      <c r="J26" s="20">
        <f>Table11[[#This Row],[BIDEN VOTES]]/C92</f>
        <v>0.36394891944990176</v>
      </c>
      <c r="K26" s="18">
        <v>0.53100000000000003</v>
      </c>
      <c r="L26" s="17">
        <v>1833</v>
      </c>
      <c r="M26" s="64">
        <f>Table11[[#This Row],[TRUMP VOTES]]/C92</f>
        <v>0.30009823182711198</v>
      </c>
      <c r="N26" s="18">
        <v>0.438</v>
      </c>
      <c r="O26" s="21">
        <f>1-(Table11[[#This Row],[NbP]]+Table11[[#This Row],[NbP2]])</f>
        <v>0.33595284872298625</v>
      </c>
    </row>
    <row r="27" spans="1:15" ht="20">
      <c r="A27" s="13"/>
      <c r="B27" s="14"/>
      <c r="C27" s="13"/>
      <c r="D27" s="13"/>
      <c r="E27" s="13"/>
      <c r="F27" s="29"/>
      <c r="H27" s="16"/>
      <c r="I27" s="17"/>
      <c r="J27" s="20">
        <f>Table11[[#This Row],[BIDEN VOTES]]/C93</f>
        <v>0</v>
      </c>
      <c r="K27" s="18"/>
      <c r="L27" s="17"/>
      <c r="M27" s="64">
        <f>Table11[[#This Row],[TRUMP VOTES]]/C93</f>
        <v>0</v>
      </c>
      <c r="N27" s="18"/>
      <c r="O27" s="21"/>
    </row>
    <row r="28" spans="1:15" ht="20">
      <c r="A28" s="11" t="s">
        <v>69</v>
      </c>
      <c r="B28" s="12" t="s">
        <v>1116</v>
      </c>
      <c r="C28" s="11">
        <v>2019</v>
      </c>
      <c r="D28" s="11" t="s">
        <v>803</v>
      </c>
      <c r="E28" s="11">
        <v>7.4</v>
      </c>
      <c r="F28" s="29">
        <f>(E28-MIN(E:E))/(MAX(E:E)-MIN(E:E))</f>
        <v>0.2268370607028754</v>
      </c>
      <c r="H28" s="16" t="s">
        <v>1166</v>
      </c>
      <c r="I28" s="17">
        <v>7132</v>
      </c>
      <c r="J28" s="20">
        <f>Table11[[#This Row],[BIDEN VOTES]]/C94</f>
        <v>0.41661311992522926</v>
      </c>
      <c r="K28" s="18">
        <v>0.63700000000000001</v>
      </c>
      <c r="L28" s="17">
        <v>3735</v>
      </c>
      <c r="M28" s="64">
        <f>Table11[[#This Row],[TRUMP VOTES]]/C94</f>
        <v>0.21817863192943512</v>
      </c>
      <c r="N28" s="18">
        <v>0.33400000000000002</v>
      </c>
      <c r="O28" s="21">
        <f>1-(Table11[[#This Row],[NbP]]+Table11[[#This Row],[NbP2]])</f>
        <v>0.36520824814533559</v>
      </c>
    </row>
    <row r="29" spans="1:15" ht="20">
      <c r="A29" s="13" t="s">
        <v>69</v>
      </c>
      <c r="B29" s="14" t="s">
        <v>1117</v>
      </c>
      <c r="C29" s="13">
        <v>2019</v>
      </c>
      <c r="D29" s="13" t="s">
        <v>803</v>
      </c>
      <c r="E29" s="13">
        <v>6.7</v>
      </c>
      <c r="F29" s="29">
        <f>(E29-MIN(E:E))/(MAX(E:E)-MIN(E:E))</f>
        <v>0.20447284345047925</v>
      </c>
      <c r="H29" s="16" t="s">
        <v>1167</v>
      </c>
      <c r="I29" s="19">
        <v>255</v>
      </c>
      <c r="J29" s="20">
        <f>Table11[[#This Row],[BIDEN VOTES]]/C95</f>
        <v>0.32650448143405891</v>
      </c>
      <c r="K29" s="18">
        <v>0.40300000000000002</v>
      </c>
      <c r="L29" s="19">
        <v>353</v>
      </c>
      <c r="M29" s="64">
        <f>Table11[[#This Row],[TRUMP VOTES]]/C95</f>
        <v>0.45198463508322662</v>
      </c>
      <c r="N29" s="18">
        <v>0.55900000000000005</v>
      </c>
      <c r="O29" s="21">
        <f>1-(Table11[[#This Row],[NbP]]+Table11[[#This Row],[NbP2]])</f>
        <v>0.22151088348271442</v>
      </c>
    </row>
    <row r="30" spans="1:15" ht="20">
      <c r="A30" s="11" t="s">
        <v>69</v>
      </c>
      <c r="B30" s="12" t="s">
        <v>1118</v>
      </c>
      <c r="C30" s="11">
        <v>2019</v>
      </c>
      <c r="D30" s="11" t="s">
        <v>803</v>
      </c>
      <c r="E30" s="11">
        <v>8.1999999999999993</v>
      </c>
      <c r="F30" s="29">
        <f>(E30-MIN(E:E))/(MAX(E:E)-MIN(E:E))</f>
        <v>0.25239616613418531</v>
      </c>
      <c r="H30" s="16" t="s">
        <v>1168</v>
      </c>
      <c r="I30" s="17">
        <v>2076</v>
      </c>
      <c r="J30" s="20">
        <f>Table11[[#This Row],[BIDEN VOTES]]/C96</f>
        <v>0.30669227360023638</v>
      </c>
      <c r="K30" s="18">
        <v>0.47099999999999997</v>
      </c>
      <c r="L30" s="17">
        <v>2203</v>
      </c>
      <c r="M30" s="64">
        <f>Table11[[#This Row],[TRUMP VOTES]]/C96</f>
        <v>0.32545427685034717</v>
      </c>
      <c r="N30" s="18">
        <v>0.5</v>
      </c>
      <c r="O30" s="21">
        <f>1-(Table11[[#This Row],[NbP]]+Table11[[#This Row],[NbP2]])</f>
        <v>0.36785344954941646</v>
      </c>
    </row>
    <row r="31" spans="1:15" ht="20">
      <c r="A31" s="13"/>
      <c r="B31" s="14"/>
      <c r="C31" s="13"/>
      <c r="D31" s="13"/>
      <c r="E31" s="13"/>
      <c r="F31" s="29"/>
      <c r="H31" s="16"/>
      <c r="I31" s="19"/>
      <c r="J31" s="20">
        <f>Table11[[#This Row],[BIDEN VOTES]]/C97</f>
        <v>0</v>
      </c>
      <c r="K31" s="18"/>
      <c r="L31" s="19"/>
      <c r="M31" s="64">
        <f>Table11[[#This Row],[TRUMP VOTES]]/C97</f>
        <v>0</v>
      </c>
      <c r="N31" s="18"/>
      <c r="O31" s="21"/>
    </row>
    <row r="32" spans="1:15" ht="20">
      <c r="A32" s="11" t="s">
        <v>69</v>
      </c>
      <c r="B32" s="12" t="s">
        <v>115</v>
      </c>
      <c r="C32" s="11">
        <v>2019</v>
      </c>
      <c r="D32" s="11" t="s">
        <v>803</v>
      </c>
      <c r="E32" s="11">
        <v>6.3</v>
      </c>
      <c r="F32" s="29">
        <f t="shared" ref="F32:F41" si="1">(E32-MIN(E:E))/(MAX(E:E)-MIN(E:E))</f>
        <v>0.19169329073482427</v>
      </c>
      <c r="H32" s="16" t="s">
        <v>214</v>
      </c>
      <c r="I32" s="17">
        <v>218396</v>
      </c>
      <c r="J32" s="20">
        <f>Table11[[#This Row],[BIDEN VOTES]]/C98</f>
        <v>0.37732876061472542</v>
      </c>
      <c r="K32" s="18">
        <v>0.57899999999999996</v>
      </c>
      <c r="L32" s="17">
        <v>148417</v>
      </c>
      <c r="M32" s="64">
        <f>Table11[[#This Row],[TRUMP VOTES]]/C98</f>
        <v>0.25642412253042962</v>
      </c>
      <c r="N32" s="18">
        <v>0.39300000000000002</v>
      </c>
      <c r="O32" s="21">
        <f>1-(Table11[[#This Row],[NbP]]+Table11[[#This Row],[NbP2]])</f>
        <v>0.3662471168548449</v>
      </c>
    </row>
    <row r="33" spans="1:15" ht="20">
      <c r="A33" s="13" t="s">
        <v>69</v>
      </c>
      <c r="B33" s="14" t="s">
        <v>1119</v>
      </c>
      <c r="C33" s="13">
        <v>2019</v>
      </c>
      <c r="D33" s="13" t="s">
        <v>803</v>
      </c>
      <c r="E33" s="13">
        <v>23.4</v>
      </c>
      <c r="F33" s="29">
        <f t="shared" si="1"/>
        <v>0.73801916932907341</v>
      </c>
      <c r="H33" s="16" t="s">
        <v>1169</v>
      </c>
      <c r="I33" s="19">
        <v>98</v>
      </c>
      <c r="J33" s="20">
        <f>Table11[[#This Row],[BIDEN VOTES]]/C99</f>
        <v>6.6985645933014357E-2</v>
      </c>
      <c r="K33" s="18">
        <v>0.109</v>
      </c>
      <c r="L33" s="19">
        <v>795</v>
      </c>
      <c r="M33" s="64">
        <f>Table11[[#This Row],[TRUMP VOTES]]/C99</f>
        <v>0.543403964456596</v>
      </c>
      <c r="N33" s="18">
        <v>0.88</v>
      </c>
      <c r="O33" s="21">
        <f>1-(Table11[[#This Row],[NbP]]+Table11[[#This Row],[NbP2]])</f>
        <v>0.38961038961038963</v>
      </c>
    </row>
    <row r="34" spans="1:15" ht="20">
      <c r="A34" s="11" t="s">
        <v>69</v>
      </c>
      <c r="B34" s="12" t="s">
        <v>1120</v>
      </c>
      <c r="C34" s="11">
        <v>2019</v>
      </c>
      <c r="D34" s="11" t="s">
        <v>803</v>
      </c>
      <c r="E34" s="11">
        <v>18.399999999999999</v>
      </c>
      <c r="F34" s="29">
        <f t="shared" si="1"/>
        <v>0.57827476038338654</v>
      </c>
      <c r="H34" s="16" t="s">
        <v>1170</v>
      </c>
      <c r="I34" s="19">
        <v>662</v>
      </c>
      <c r="J34" s="20">
        <f>Table11[[#This Row],[BIDEN VOTES]]/C100</f>
        <v>9.1360750759039475E-2</v>
      </c>
      <c r="K34" s="18">
        <v>0.17100000000000001</v>
      </c>
      <c r="L34" s="17">
        <v>3144</v>
      </c>
      <c r="M34" s="64">
        <f>Table11[[#This Row],[TRUMP VOTES]]/C100</f>
        <v>0.43389456251725089</v>
      </c>
      <c r="N34" s="18">
        <v>0.81200000000000006</v>
      </c>
      <c r="O34" s="21">
        <f>1-(Table11[[#This Row],[NbP]]+Table11[[#This Row],[NbP2]])</f>
        <v>0.47474468672370962</v>
      </c>
    </row>
    <row r="35" spans="1:15" ht="20">
      <c r="A35" s="13" t="s">
        <v>69</v>
      </c>
      <c r="B35" s="14" t="s">
        <v>118</v>
      </c>
      <c r="C35" s="13">
        <v>2019</v>
      </c>
      <c r="D35" s="13" t="s">
        <v>803</v>
      </c>
      <c r="E35" s="13">
        <v>2.2000000000000002</v>
      </c>
      <c r="F35" s="29">
        <f t="shared" si="1"/>
        <v>6.0702875399361027E-2</v>
      </c>
      <c r="H35" s="16" t="s">
        <v>1171</v>
      </c>
      <c r="I35" s="17">
        <v>20548</v>
      </c>
      <c r="J35" s="20">
        <f>Table11[[#This Row],[BIDEN VOTES]]/C101</f>
        <v>0.3660265773629271</v>
      </c>
      <c r="K35" s="18">
        <v>0.57599999999999996</v>
      </c>
      <c r="L35" s="17">
        <v>14233</v>
      </c>
      <c r="M35" s="64">
        <f>Table11[[#This Row],[TRUMP VOTES]]/C101</f>
        <v>0.25353592931704017</v>
      </c>
      <c r="N35" s="18">
        <v>0.39900000000000002</v>
      </c>
      <c r="O35" s="21">
        <f>1-(Table11[[#This Row],[NbP]]+Table11[[#This Row],[NbP2]])</f>
        <v>0.38043749332003274</v>
      </c>
    </row>
    <row r="36" spans="1:15" ht="20">
      <c r="A36" s="11" t="s">
        <v>69</v>
      </c>
      <c r="B36" s="12" t="s">
        <v>1121</v>
      </c>
      <c r="C36" s="11">
        <v>2019</v>
      </c>
      <c r="D36" s="11" t="s">
        <v>803</v>
      </c>
      <c r="E36" s="11">
        <v>1.9</v>
      </c>
      <c r="F36" s="29">
        <f t="shared" si="1"/>
        <v>5.1118210862619806E-2</v>
      </c>
      <c r="H36" s="16" t="s">
        <v>217</v>
      </c>
      <c r="I36" s="17">
        <v>2303</v>
      </c>
      <c r="J36" s="20">
        <f>Table11[[#This Row],[BIDEN VOTES]]/C102</f>
        <v>0.29356277884002552</v>
      </c>
      <c r="K36" s="18">
        <v>0.58099999999999996</v>
      </c>
      <c r="L36" s="17">
        <v>1497</v>
      </c>
      <c r="M36" s="64">
        <f>Table11[[#This Row],[TRUMP VOTES]]/C102</f>
        <v>0.19082217973231358</v>
      </c>
      <c r="N36" s="18">
        <v>0.378</v>
      </c>
      <c r="O36" s="21">
        <f>1-(Table11[[#This Row],[NbP]]+Table11[[#This Row],[NbP2]])</f>
        <v>0.5156150414276609</v>
      </c>
    </row>
    <row r="37" spans="1:15" ht="20">
      <c r="A37" s="13" t="s">
        <v>69</v>
      </c>
      <c r="B37" s="14" t="s">
        <v>1122</v>
      </c>
      <c r="C37" s="13">
        <v>2019</v>
      </c>
      <c r="D37" s="13" t="s">
        <v>803</v>
      </c>
      <c r="E37" s="13">
        <v>4.0999999999999996</v>
      </c>
      <c r="F37" s="29">
        <f t="shared" si="1"/>
        <v>0.12140575079872204</v>
      </c>
      <c r="H37" s="16" t="s">
        <v>1172</v>
      </c>
      <c r="I37" s="17">
        <v>126120</v>
      </c>
      <c r="J37" s="20">
        <f>Table11[[#This Row],[BIDEN VOTES]]/C103</f>
        <v>0.35980520536455524</v>
      </c>
      <c r="K37" s="18">
        <v>0.56200000000000006</v>
      </c>
      <c r="L37" s="17">
        <v>91489</v>
      </c>
      <c r="M37" s="64">
        <f>Table11[[#This Row],[TRUMP VOTES]]/C103</f>
        <v>0.26100712364095935</v>
      </c>
      <c r="N37" s="18">
        <v>0.40799999999999997</v>
      </c>
      <c r="O37" s="21">
        <f>1-(Table11[[#This Row],[NbP]]+Table11[[#This Row],[NbP2]])</f>
        <v>0.37918767099448547</v>
      </c>
    </row>
    <row r="38" spans="1:15" ht="20">
      <c r="A38" s="11" t="s">
        <v>69</v>
      </c>
      <c r="B38" s="12" t="s">
        <v>1123</v>
      </c>
      <c r="C38" s="11">
        <v>2019</v>
      </c>
      <c r="D38" s="11" t="s">
        <v>803</v>
      </c>
      <c r="E38" s="11">
        <v>19.8</v>
      </c>
      <c r="F38" s="29">
        <f t="shared" si="1"/>
        <v>0.6230031948881789</v>
      </c>
      <c r="H38" s="16" t="s">
        <v>1173</v>
      </c>
      <c r="I38" s="17">
        <v>3497</v>
      </c>
      <c r="J38" s="20">
        <f>Table11[[#This Row],[BIDEN VOTES]]/C104</f>
        <v>0.24415276129302521</v>
      </c>
      <c r="K38" s="18">
        <v>0.439</v>
      </c>
      <c r="L38" s="17">
        <v>4284</v>
      </c>
      <c r="M38" s="64">
        <f>Table11[[#This Row],[TRUMP VOTES]]/C104</f>
        <v>0.29909935069468685</v>
      </c>
      <c r="N38" s="18">
        <v>0.53800000000000003</v>
      </c>
      <c r="O38" s="21">
        <f>1-(Table11[[#This Row],[NbP]]+Table11[[#This Row],[NbP2]])</f>
        <v>0.45674788801228794</v>
      </c>
    </row>
    <row r="39" spans="1:15" ht="20">
      <c r="A39" s="13" t="s">
        <v>69</v>
      </c>
      <c r="B39" s="14" t="s">
        <v>122</v>
      </c>
      <c r="C39" s="13">
        <v>2019</v>
      </c>
      <c r="D39" s="13" t="s">
        <v>803</v>
      </c>
      <c r="E39" s="13">
        <v>4.5999999999999996</v>
      </c>
      <c r="F39" s="29">
        <f t="shared" si="1"/>
        <v>0.13738019169329072</v>
      </c>
      <c r="H39" s="16" t="s">
        <v>221</v>
      </c>
      <c r="I39" s="19">
        <v>470</v>
      </c>
      <c r="J39" s="20">
        <f>Table11[[#This Row],[BIDEN VOTES]]/C105</f>
        <v>8.3808844507845939E-2</v>
      </c>
      <c r="K39" s="18">
        <v>0.17699999999999999</v>
      </c>
      <c r="L39" s="17">
        <v>2135</v>
      </c>
      <c r="M39" s="64">
        <f>Table11[[#This Row],[TRUMP VOTES]]/C105</f>
        <v>0.38070613409415122</v>
      </c>
      <c r="N39" s="18">
        <v>0.80500000000000005</v>
      </c>
      <c r="O39" s="21">
        <f>1-(Table11[[#This Row],[NbP]]+Table11[[#This Row],[NbP2]])</f>
        <v>0.53548502139800291</v>
      </c>
    </row>
    <row r="40" spans="1:15" ht="20">
      <c r="A40" s="11" t="s">
        <v>69</v>
      </c>
      <c r="B40" s="12" t="s">
        <v>869</v>
      </c>
      <c r="C40" s="11">
        <v>2019</v>
      </c>
      <c r="D40" s="11" t="s">
        <v>803</v>
      </c>
      <c r="E40" s="11">
        <v>31.6</v>
      </c>
      <c r="F40" s="29">
        <f t="shared" si="1"/>
        <v>1</v>
      </c>
      <c r="H40" s="16" t="s">
        <v>837</v>
      </c>
      <c r="I40" s="17">
        <v>2218</v>
      </c>
      <c r="J40" s="20">
        <f>Table11[[#This Row],[BIDEN VOTES]]/C106</f>
        <v>9.954223139754062E-2</v>
      </c>
      <c r="K40" s="18">
        <v>0.21099999999999999</v>
      </c>
      <c r="L40" s="17">
        <v>8087</v>
      </c>
      <c r="M40" s="64">
        <f>Table11[[#This Row],[TRUMP VOTES]]/C106</f>
        <v>0.36293869491069025</v>
      </c>
      <c r="N40" s="18">
        <v>0.76800000000000002</v>
      </c>
      <c r="O40" s="21">
        <f>1-(Table11[[#This Row],[NbP]]+Table11[[#This Row],[NbP2]])</f>
        <v>0.5375190736917691</v>
      </c>
    </row>
    <row r="41" spans="1:15" ht="20">
      <c r="A41" s="13" t="s">
        <v>69</v>
      </c>
      <c r="B41" s="14" t="s">
        <v>1124</v>
      </c>
      <c r="C41" s="13">
        <v>2019</v>
      </c>
      <c r="D41" s="13" t="s">
        <v>803</v>
      </c>
      <c r="E41" s="13">
        <v>15.3</v>
      </c>
      <c r="F41" s="29">
        <f t="shared" si="1"/>
        <v>0.47923322683706071</v>
      </c>
      <c r="H41" s="16" t="s">
        <v>1174</v>
      </c>
      <c r="I41" s="17">
        <v>31536</v>
      </c>
      <c r="J41" s="20">
        <f>Table11[[#This Row],[BIDEN VOTES]]/C107</f>
        <v>0.20616885239471242</v>
      </c>
      <c r="K41" s="18">
        <v>0.34799999999999998</v>
      </c>
      <c r="L41" s="17">
        <v>56894</v>
      </c>
      <c r="M41" s="64">
        <f>Table11[[#This Row],[TRUMP VOTES]]/C107</f>
        <v>0.37194858853832979</v>
      </c>
      <c r="N41" s="18">
        <v>0.628</v>
      </c>
      <c r="O41" s="21">
        <f>1-(Table11[[#This Row],[NbP]]+Table11[[#This Row],[NbP2]])</f>
        <v>0.42188255906695782</v>
      </c>
    </row>
    <row r="42" spans="1:15" ht="20">
      <c r="A42" s="11"/>
      <c r="B42" s="12"/>
      <c r="C42" s="11"/>
      <c r="D42" s="11"/>
      <c r="E42" s="11"/>
      <c r="F42" s="29"/>
      <c r="H42" s="16"/>
      <c r="I42" s="19"/>
      <c r="J42" s="20">
        <f>Table11[[#This Row],[BIDEN VOTES]]/C108</f>
        <v>0</v>
      </c>
      <c r="K42" s="18"/>
      <c r="L42" s="19"/>
      <c r="M42" s="64">
        <f>Table11[[#This Row],[TRUMP VOTES]]/C108</f>
        <v>0</v>
      </c>
      <c r="N42" s="18"/>
      <c r="O42" s="21"/>
    </row>
    <row r="43" spans="1:15" ht="20">
      <c r="A43" s="13" t="s">
        <v>69</v>
      </c>
      <c r="B43" s="14" t="s">
        <v>1125</v>
      </c>
      <c r="C43" s="13">
        <v>2019</v>
      </c>
      <c r="D43" s="13" t="s">
        <v>803</v>
      </c>
      <c r="E43" s="13">
        <v>1.7</v>
      </c>
      <c r="F43" s="29">
        <f t="shared" ref="F43:F57" si="2">(E43-MIN(E:E))/(MAX(E:E)-MIN(E:E))</f>
        <v>4.472843450479233E-2</v>
      </c>
      <c r="H43" s="16" t="s">
        <v>1175</v>
      </c>
      <c r="I43" s="17">
        <v>1203</v>
      </c>
      <c r="J43" s="20">
        <f>Table11[[#This Row],[BIDEN VOTES]]/C109</f>
        <v>9.1482889733840306E-2</v>
      </c>
      <c r="K43" s="18">
        <v>0.17100000000000001</v>
      </c>
      <c r="L43" s="17">
        <v>5670</v>
      </c>
      <c r="M43" s="64">
        <f>Table11[[#This Row],[TRUMP VOTES]]/C109</f>
        <v>0.4311787072243346</v>
      </c>
      <c r="N43" s="18">
        <v>0.80700000000000005</v>
      </c>
      <c r="O43" s="21">
        <f>1-(Table11[[#This Row],[NbP]]+Table11[[#This Row],[NbP2]])</f>
        <v>0.47733840304182507</v>
      </c>
    </row>
    <row r="44" spans="1:15" ht="20">
      <c r="A44" s="11" t="s">
        <v>69</v>
      </c>
      <c r="B44" s="12" t="s">
        <v>1126</v>
      </c>
      <c r="C44" s="11">
        <v>2019</v>
      </c>
      <c r="D44" s="11" t="s">
        <v>803</v>
      </c>
      <c r="E44" s="11">
        <v>18.899999999999999</v>
      </c>
      <c r="F44" s="29">
        <f t="shared" si="2"/>
        <v>0.59424920127795522</v>
      </c>
      <c r="H44" s="16" t="s">
        <v>1176</v>
      </c>
      <c r="I44" s="17">
        <v>5836</v>
      </c>
      <c r="J44" s="20">
        <f>Table11[[#This Row],[BIDEN VOTES]]/C110</f>
        <v>0.22218838041574659</v>
      </c>
      <c r="K44" s="18">
        <v>0.377</v>
      </c>
      <c r="L44" s="17">
        <v>9306</v>
      </c>
      <c r="M44" s="64">
        <f>Table11[[#This Row],[TRUMP VOTES]]/C110</f>
        <v>0.35429833244498593</v>
      </c>
      <c r="N44" s="18">
        <v>0.6</v>
      </c>
      <c r="O44" s="21">
        <f>1-(Table11[[#This Row],[NbP]]+Table11[[#This Row],[NbP2]])</f>
        <v>0.4235132871392675</v>
      </c>
    </row>
    <row r="45" spans="1:15" ht="20">
      <c r="A45" s="13" t="s">
        <v>69</v>
      </c>
      <c r="B45" s="14" t="s">
        <v>1127</v>
      </c>
      <c r="C45" s="13">
        <v>2019</v>
      </c>
      <c r="D45" s="13" t="s">
        <v>803</v>
      </c>
      <c r="E45" s="13">
        <v>18.2</v>
      </c>
      <c r="F45" s="29">
        <f t="shared" si="2"/>
        <v>0.5718849840255591</v>
      </c>
      <c r="H45" s="16" t="s">
        <v>1177</v>
      </c>
      <c r="I45" s="17">
        <v>7687</v>
      </c>
      <c r="J45" s="20">
        <f>Table11[[#This Row],[BIDEN VOTES]]/C111</f>
        <v>0.18181173131504258</v>
      </c>
      <c r="K45" s="18">
        <v>0.308</v>
      </c>
      <c r="L45" s="17">
        <v>16770</v>
      </c>
      <c r="M45" s="64">
        <f>Table11[[#This Row],[TRUMP VOTES]]/C111</f>
        <v>0.3966414380321665</v>
      </c>
      <c r="N45" s="18">
        <v>0.67300000000000004</v>
      </c>
      <c r="O45" s="21">
        <f>1-(Table11[[#This Row],[NbP]]+Table11[[#This Row],[NbP2]])</f>
        <v>0.42154683065279097</v>
      </c>
    </row>
    <row r="46" spans="1:15" ht="20">
      <c r="A46" s="11" t="s">
        <v>69</v>
      </c>
      <c r="B46" s="12" t="s">
        <v>135</v>
      </c>
      <c r="C46" s="11">
        <v>2019</v>
      </c>
      <c r="D46" s="11" t="s">
        <v>803</v>
      </c>
      <c r="E46" s="11">
        <v>13.7</v>
      </c>
      <c r="F46" s="29">
        <f t="shared" si="2"/>
        <v>0.42811501597444085</v>
      </c>
      <c r="H46" s="16" t="s">
        <v>234</v>
      </c>
      <c r="I46" s="17">
        <v>3876</v>
      </c>
      <c r="J46" s="20">
        <f>Table11[[#This Row],[BIDEN VOTES]]/C112</f>
        <v>0.13544396687283783</v>
      </c>
      <c r="K46" s="18">
        <v>0.28199999999999997</v>
      </c>
      <c r="L46" s="17">
        <v>9593</v>
      </c>
      <c r="M46" s="64">
        <f>Table11[[#This Row],[TRUMP VOTES]]/C112</f>
        <v>0.33522032358388371</v>
      </c>
      <c r="N46" s="18">
        <v>0.69799999999999995</v>
      </c>
      <c r="O46" s="21">
        <f>1-(Table11[[#This Row],[NbP]]+Table11[[#This Row],[NbP2]])</f>
        <v>0.52933570954327847</v>
      </c>
    </row>
    <row r="47" spans="1:15" ht="20">
      <c r="A47" s="13" t="s">
        <v>69</v>
      </c>
      <c r="B47" s="14" t="s">
        <v>1128</v>
      </c>
      <c r="C47" s="13">
        <v>2019</v>
      </c>
      <c r="D47" s="13" t="s">
        <v>803</v>
      </c>
      <c r="E47" s="13">
        <v>6.1</v>
      </c>
      <c r="F47" s="29">
        <f t="shared" si="2"/>
        <v>0.1853035143769968</v>
      </c>
      <c r="H47" s="16" t="s">
        <v>1178</v>
      </c>
      <c r="I47" s="17">
        <v>3605</v>
      </c>
      <c r="J47" s="20">
        <f>Table11[[#This Row],[BIDEN VOTES]]/C113</f>
        <v>0.19716692189892804</v>
      </c>
      <c r="K47" s="18">
        <v>0.376</v>
      </c>
      <c r="L47" s="17">
        <v>5756</v>
      </c>
      <c r="M47" s="64">
        <f>Table11[[#This Row],[TRUMP VOTES]]/C113</f>
        <v>0.31481076350907899</v>
      </c>
      <c r="N47" s="18">
        <v>0.60099999999999998</v>
      </c>
      <c r="O47" s="21">
        <f>1-(Table11[[#This Row],[NbP]]+Table11[[#This Row],[NbP2]])</f>
        <v>0.48802231459199297</v>
      </c>
    </row>
    <row r="48" spans="1:15" ht="20">
      <c r="A48" s="11" t="s">
        <v>69</v>
      </c>
      <c r="B48" s="12" t="s">
        <v>1129</v>
      </c>
      <c r="C48" s="11">
        <v>2019</v>
      </c>
      <c r="D48" s="11" t="s">
        <v>803</v>
      </c>
      <c r="E48" s="11">
        <v>7.5</v>
      </c>
      <c r="F48" s="29">
        <f t="shared" si="2"/>
        <v>0.23003194888178913</v>
      </c>
      <c r="H48" s="16" t="s">
        <v>1179</v>
      </c>
      <c r="I48" s="17">
        <v>2365</v>
      </c>
      <c r="J48" s="20">
        <f>Table11[[#This Row],[BIDEN VOTES]]/C114</f>
        <v>0.483640081799591</v>
      </c>
      <c r="K48" s="18">
        <v>0.58799999999999997</v>
      </c>
      <c r="L48" s="17">
        <v>1577</v>
      </c>
      <c r="M48" s="64">
        <f>Table11[[#This Row],[TRUMP VOTES]]/C114</f>
        <v>0.32249488752556238</v>
      </c>
      <c r="N48" s="18">
        <v>0.39200000000000002</v>
      </c>
      <c r="O48" s="21">
        <f>1-(Table11[[#This Row],[NbP]]+Table11[[#This Row],[NbP2]])</f>
        <v>0.19386503067484662</v>
      </c>
    </row>
    <row r="49" spans="1:15" ht="20">
      <c r="A49" s="13" t="s">
        <v>69</v>
      </c>
      <c r="B49" s="14" t="s">
        <v>1130</v>
      </c>
      <c r="C49" s="13">
        <v>2019</v>
      </c>
      <c r="D49" s="13" t="s">
        <v>803</v>
      </c>
      <c r="E49" s="13">
        <v>14.6</v>
      </c>
      <c r="F49" s="29">
        <f t="shared" si="2"/>
        <v>0.45686900958466448</v>
      </c>
      <c r="H49" s="16" t="s">
        <v>1195</v>
      </c>
      <c r="I49" s="17">
        <v>4903</v>
      </c>
      <c r="J49" s="20">
        <f>Table11[[#This Row],[BIDEN VOTES]]/C115</f>
        <v>0.26726628509130551</v>
      </c>
      <c r="K49" s="18">
        <v>0.39900000000000002</v>
      </c>
      <c r="L49" s="17">
        <v>6991</v>
      </c>
      <c r="M49" s="64">
        <f>Table11[[#This Row],[TRUMP VOTES]]/C115</f>
        <v>0.38108476424093757</v>
      </c>
      <c r="N49" s="18">
        <v>0.56899999999999995</v>
      </c>
      <c r="O49" s="21">
        <f>1-(Table11[[#This Row],[NbP]]+Table11[[#This Row],[NbP2]])</f>
        <v>0.35164895066775692</v>
      </c>
    </row>
    <row r="50" spans="1:15" ht="20">
      <c r="A50" s="11" t="s">
        <v>69</v>
      </c>
      <c r="B50" s="12" t="s">
        <v>1131</v>
      </c>
      <c r="C50" s="11">
        <v>2019</v>
      </c>
      <c r="D50" s="11" t="s">
        <v>803</v>
      </c>
      <c r="E50" s="11">
        <v>6.7</v>
      </c>
      <c r="F50" s="29">
        <f t="shared" si="2"/>
        <v>0.20447284345047925</v>
      </c>
      <c r="H50" s="16" t="s">
        <v>1180</v>
      </c>
      <c r="I50" s="19">
        <v>486</v>
      </c>
      <c r="J50" s="20">
        <f>Table11[[#This Row],[BIDEN VOTES]]/C116</f>
        <v>0.11190421367718167</v>
      </c>
      <c r="K50" s="18">
        <v>0.19600000000000001</v>
      </c>
      <c r="L50" s="17">
        <v>1958</v>
      </c>
      <c r="M50" s="64">
        <f>Table11[[#This Row],[TRUMP VOTES]]/C116</f>
        <v>0.45084043288049735</v>
      </c>
      <c r="N50" s="18">
        <v>0.78800000000000003</v>
      </c>
      <c r="O50" s="21">
        <f>1-(Table11[[#This Row],[NbP]]+Table11[[#This Row],[NbP2]])</f>
        <v>0.43725535344232092</v>
      </c>
    </row>
    <row r="51" spans="1:15" ht="20">
      <c r="A51" s="13" t="s">
        <v>69</v>
      </c>
      <c r="B51" s="14" t="s">
        <v>1132</v>
      </c>
      <c r="C51" s="13">
        <v>2019</v>
      </c>
      <c r="D51" s="13" t="s">
        <v>803</v>
      </c>
      <c r="E51" s="13">
        <v>2.6</v>
      </c>
      <c r="F51" s="29">
        <f t="shared" si="2"/>
        <v>7.3482428115015985E-2</v>
      </c>
      <c r="H51" s="16" t="s">
        <v>1181</v>
      </c>
      <c r="I51" s="17">
        <v>8989</v>
      </c>
      <c r="J51" s="20">
        <f>Table11[[#This Row],[BIDEN VOTES]]/C117</f>
        <v>0.499944382647386</v>
      </c>
      <c r="K51" s="18">
        <v>0.752</v>
      </c>
      <c r="L51" s="17">
        <v>2780</v>
      </c>
      <c r="M51" s="64">
        <f>Table11[[#This Row],[TRUMP VOTES]]/C117</f>
        <v>0.1546162402669633</v>
      </c>
      <c r="N51" s="18">
        <v>0.23200000000000001</v>
      </c>
      <c r="O51" s="21">
        <f>1-(Table11[[#This Row],[NbP]]+Table11[[#This Row],[NbP2]])</f>
        <v>0.34543937708565076</v>
      </c>
    </row>
    <row r="52" spans="1:15" ht="20">
      <c r="A52" s="11" t="s">
        <v>69</v>
      </c>
      <c r="B52" s="12" t="s">
        <v>1133</v>
      </c>
      <c r="C52" s="11">
        <v>2019</v>
      </c>
      <c r="D52" s="11" t="s">
        <v>803</v>
      </c>
      <c r="E52" s="11">
        <v>5</v>
      </c>
      <c r="F52" s="29">
        <f t="shared" si="2"/>
        <v>0.15015974440894569</v>
      </c>
      <c r="H52" s="16" t="s">
        <v>1182</v>
      </c>
      <c r="I52" s="17">
        <v>1458</v>
      </c>
      <c r="J52" s="20">
        <f>Table11[[#This Row],[BIDEN VOTES]]/C118</f>
        <v>0.12114665558786872</v>
      </c>
      <c r="K52" s="18">
        <v>0.26200000000000001</v>
      </c>
      <c r="L52" s="17">
        <v>4008</v>
      </c>
      <c r="M52" s="64">
        <f>Table11[[#This Row],[TRUMP VOTES]]/C118</f>
        <v>0.33302866638969669</v>
      </c>
      <c r="N52" s="18">
        <v>0.72099999999999997</v>
      </c>
      <c r="O52" s="21">
        <f>1-(Table11[[#This Row],[NbP]]+Table11[[#This Row],[NbP2]])</f>
        <v>0.54582467802243462</v>
      </c>
    </row>
    <row r="53" spans="1:15" ht="20">
      <c r="A53" s="13" t="s">
        <v>69</v>
      </c>
      <c r="B53" s="14" t="s">
        <v>1134</v>
      </c>
      <c r="C53" s="13">
        <v>2019</v>
      </c>
      <c r="D53" s="13" t="s">
        <v>803</v>
      </c>
      <c r="E53" s="13">
        <v>4.7</v>
      </c>
      <c r="F53" s="29">
        <f t="shared" si="2"/>
        <v>0.14057507987220449</v>
      </c>
      <c r="H53" s="16" t="s">
        <v>1183</v>
      </c>
      <c r="I53" s="17">
        <v>43772</v>
      </c>
      <c r="J53" s="20">
        <f>Table11[[#This Row],[BIDEN VOTES]]/C119</f>
        <v>0.26146273863283398</v>
      </c>
      <c r="K53" s="18">
        <v>0.496</v>
      </c>
      <c r="L53" s="17">
        <v>42252</v>
      </c>
      <c r="M53" s="64">
        <f>Table11[[#This Row],[TRUMP VOTES]]/C119</f>
        <v>0.25238334169593579</v>
      </c>
      <c r="N53" s="18">
        <v>0.47899999999999998</v>
      </c>
      <c r="O53" s="21">
        <f>1-(Table11[[#This Row],[NbP]]+Table11[[#This Row],[NbP2]])</f>
        <v>0.48615391967123023</v>
      </c>
    </row>
    <row r="54" spans="1:15" ht="20">
      <c r="A54" s="11" t="s">
        <v>69</v>
      </c>
      <c r="B54" s="12" t="s">
        <v>1135</v>
      </c>
      <c r="C54" s="11">
        <v>2019</v>
      </c>
      <c r="D54" s="11" t="s">
        <v>803</v>
      </c>
      <c r="E54" s="11">
        <v>19.100000000000001</v>
      </c>
      <c r="F54" s="29">
        <f t="shared" si="2"/>
        <v>0.60063897763578278</v>
      </c>
      <c r="H54" s="16" t="s">
        <v>1184</v>
      </c>
      <c r="I54" s="19">
        <v>561</v>
      </c>
      <c r="J54" s="20">
        <f>Table11[[#This Row],[BIDEN VOTES]]/C120</f>
        <v>8.8082901554404139E-2</v>
      </c>
      <c r="K54" s="18">
        <v>0.152</v>
      </c>
      <c r="L54" s="17">
        <v>3061</v>
      </c>
      <c r="M54" s="64">
        <f>Table11[[#This Row],[TRUMP VOTES]]/C120</f>
        <v>0.4806092008164547</v>
      </c>
      <c r="N54" s="18">
        <v>0.82899999999999996</v>
      </c>
      <c r="O54" s="21">
        <f>1-(Table11[[#This Row],[NbP]]+Table11[[#This Row],[NbP2]])</f>
        <v>0.43130789762914112</v>
      </c>
    </row>
    <row r="55" spans="1:15" ht="20">
      <c r="A55" s="13" t="s">
        <v>69</v>
      </c>
      <c r="B55" s="14" t="s">
        <v>1136</v>
      </c>
      <c r="C55" s="13">
        <v>2019</v>
      </c>
      <c r="D55" s="13" t="s">
        <v>803</v>
      </c>
      <c r="E55" s="13">
        <v>17.7</v>
      </c>
      <c r="F55" s="29">
        <f t="shared" si="2"/>
        <v>0.55591054313099031</v>
      </c>
      <c r="H55" s="16" t="s">
        <v>1185</v>
      </c>
      <c r="I55" s="17">
        <v>2495</v>
      </c>
      <c r="J55" s="20">
        <f>Table11[[#This Row],[BIDEN VOTES]]/C121</f>
        <v>0.22079646017699114</v>
      </c>
      <c r="K55" s="18">
        <v>0.39600000000000002</v>
      </c>
      <c r="L55" s="17">
        <v>3660</v>
      </c>
      <c r="M55" s="64">
        <f>Table11[[#This Row],[TRUMP VOTES]]/C121</f>
        <v>0.32389380530973449</v>
      </c>
      <c r="N55" s="18">
        <v>0.57999999999999996</v>
      </c>
      <c r="O55" s="21">
        <f>1-(Table11[[#This Row],[NbP]]+Table11[[#This Row],[NbP2]])</f>
        <v>0.45530973451327439</v>
      </c>
    </row>
    <row r="56" spans="1:15" ht="20">
      <c r="A56" s="11" t="s">
        <v>69</v>
      </c>
      <c r="B56" s="12" t="s">
        <v>1137</v>
      </c>
      <c r="C56" s="11">
        <v>2019</v>
      </c>
      <c r="D56" s="11" t="s">
        <v>803</v>
      </c>
      <c r="E56" s="11">
        <v>3.9</v>
      </c>
      <c r="F56" s="29">
        <f t="shared" si="2"/>
        <v>0.11501597444089456</v>
      </c>
      <c r="H56" s="16" t="s">
        <v>1186</v>
      </c>
      <c r="I56" s="17">
        <v>10582</v>
      </c>
      <c r="J56" s="20">
        <f>Table11[[#This Row],[BIDEN VOTES]]/C122</f>
        <v>0.41798001342971125</v>
      </c>
      <c r="K56" s="18">
        <v>0.627</v>
      </c>
      <c r="L56" s="17">
        <v>5925</v>
      </c>
      <c r="M56" s="64">
        <f>Table11[[#This Row],[TRUMP VOTES]]/C122</f>
        <v>0.2340324683019315</v>
      </c>
      <c r="N56" s="18">
        <v>0.35099999999999998</v>
      </c>
      <c r="O56" s="21">
        <f>1-(Table11[[#This Row],[NbP]]+Table11[[#This Row],[NbP2]])</f>
        <v>0.34798751826835728</v>
      </c>
    </row>
    <row r="57" spans="1:15" ht="20">
      <c r="A57" s="13" t="s">
        <v>69</v>
      </c>
      <c r="B57" s="14" t="s">
        <v>1138</v>
      </c>
      <c r="C57" s="13">
        <v>2019</v>
      </c>
      <c r="D57" s="13" t="s">
        <v>803</v>
      </c>
      <c r="E57" s="13">
        <v>13.9</v>
      </c>
      <c r="F57" s="29">
        <f t="shared" si="2"/>
        <v>0.43450479233226835</v>
      </c>
      <c r="H57" s="16" t="s">
        <v>1187</v>
      </c>
      <c r="I57" s="17">
        <v>1884</v>
      </c>
      <c r="J57" s="20">
        <f>Table11[[#This Row],[BIDEN VOTES]]/C123</f>
        <v>0.2799405646359584</v>
      </c>
      <c r="K57" s="18">
        <v>0.55600000000000005</v>
      </c>
      <c r="L57" s="17">
        <v>1413</v>
      </c>
      <c r="M57" s="64">
        <f>Table11[[#This Row],[TRUMP VOTES]]/C123</f>
        <v>0.2099554234769688</v>
      </c>
      <c r="N57" s="18">
        <v>0.41699999999999998</v>
      </c>
      <c r="O57" s="21">
        <f>1-(Table11[[#This Row],[NbP]]+Table11[[#This Row],[NbP2]])</f>
        <v>0.51010401188707277</v>
      </c>
    </row>
    <row r="58" spans="1:15" ht="20">
      <c r="A58" s="11"/>
      <c r="B58" s="12"/>
      <c r="C58" s="11"/>
      <c r="D58" s="11"/>
      <c r="E58" s="11"/>
      <c r="F58" s="29"/>
      <c r="H58" s="16"/>
      <c r="I58" s="19"/>
      <c r="J58" s="20">
        <f>Table11[[#This Row],[BIDEN VOTES]]/C124</f>
        <v>0</v>
      </c>
      <c r="K58" s="18"/>
      <c r="L58" s="19"/>
      <c r="M58" s="64">
        <f>Table11[[#This Row],[TRUMP VOTES]]/C124</f>
        <v>0</v>
      </c>
      <c r="N58" s="18"/>
      <c r="O58" s="21"/>
    </row>
    <row r="59" spans="1:15" ht="20">
      <c r="A59" s="13" t="s">
        <v>69</v>
      </c>
      <c r="B59" s="14" t="s">
        <v>1139</v>
      </c>
      <c r="C59" s="13">
        <v>2019</v>
      </c>
      <c r="D59" s="13" t="s">
        <v>803</v>
      </c>
      <c r="E59" s="13">
        <v>0.6</v>
      </c>
      <c r="F59" s="29">
        <f t="shared" ref="F59:F65" si="3">(E59-MIN(E:E))/(MAX(E:E)-MIN(E:E))</f>
        <v>9.5846645367412137E-3</v>
      </c>
      <c r="H59" s="16" t="s">
        <v>1189</v>
      </c>
      <c r="I59" s="17">
        <v>3924</v>
      </c>
      <c r="J59" s="20">
        <f>Table11[[#This Row],[BIDEN VOTES]]/C125</f>
        <v>0.48384710234278666</v>
      </c>
      <c r="K59" s="18">
        <v>0.76200000000000001</v>
      </c>
      <c r="L59" s="17">
        <v>1136</v>
      </c>
      <c r="M59" s="64">
        <f>Table11[[#This Row],[TRUMP VOTES]]/C125</f>
        <v>0.14007398273736127</v>
      </c>
      <c r="N59" s="18">
        <v>0.221</v>
      </c>
      <c r="O59" s="21">
        <f>1-(Table11[[#This Row],[NbP]]+Table11[[#This Row],[NbP2]])</f>
        <v>0.37607891491985201</v>
      </c>
    </row>
    <row r="60" spans="1:15" ht="20">
      <c r="A60" s="11" t="s">
        <v>69</v>
      </c>
      <c r="B60" s="12" t="s">
        <v>1140</v>
      </c>
      <c r="C60" s="11">
        <v>2019</v>
      </c>
      <c r="D60" s="11" t="s">
        <v>803</v>
      </c>
      <c r="E60" s="11">
        <v>8.6</v>
      </c>
      <c r="F60" s="29">
        <f t="shared" si="3"/>
        <v>0.2651757188498402</v>
      </c>
      <c r="H60" s="16" t="s">
        <v>1190</v>
      </c>
      <c r="I60" s="19">
        <v>301</v>
      </c>
      <c r="J60" s="20">
        <f>Table11[[#This Row],[BIDEN VOTES]]/C126</f>
        <v>0.13052905464006939</v>
      </c>
      <c r="K60" s="18">
        <v>0.20799999999999999</v>
      </c>
      <c r="L60" s="17">
        <v>1121</v>
      </c>
      <c r="M60" s="64">
        <f>Table11[[#This Row],[TRUMP VOTES]]/C126</f>
        <v>0.48612315698178665</v>
      </c>
      <c r="N60" s="18">
        <v>0.77500000000000002</v>
      </c>
      <c r="O60" s="21">
        <f>1-(Table11[[#This Row],[NbP]]+Table11[[#This Row],[NbP2]])</f>
        <v>0.38334778837814398</v>
      </c>
    </row>
    <row r="61" spans="1:15" ht="20">
      <c r="A61" s="13" t="s">
        <v>69</v>
      </c>
      <c r="B61" s="14" t="s">
        <v>1141</v>
      </c>
      <c r="C61" s="13">
        <v>2019</v>
      </c>
      <c r="D61" s="13" t="s">
        <v>803</v>
      </c>
      <c r="E61" s="13">
        <v>1.1000000000000001</v>
      </c>
      <c r="F61" s="29">
        <f t="shared" si="3"/>
        <v>2.5559105431309907E-2</v>
      </c>
      <c r="H61" s="16" t="s">
        <v>1191</v>
      </c>
      <c r="I61" s="17">
        <v>12631</v>
      </c>
      <c r="J61" s="20">
        <f>Table11[[#This Row],[BIDEN VOTES]]/C127</f>
        <v>0.41096469822677728</v>
      </c>
      <c r="K61" s="18">
        <v>0.68400000000000005</v>
      </c>
      <c r="L61" s="17">
        <v>5322</v>
      </c>
      <c r="M61" s="64">
        <f>Table11[[#This Row],[TRUMP VOTES]]/C127</f>
        <v>0.17315763787213276</v>
      </c>
      <c r="N61" s="18">
        <v>0.28799999999999998</v>
      </c>
      <c r="O61" s="21">
        <f>1-(Table11[[#This Row],[NbP]]+Table11[[#This Row],[NbP2]])</f>
        <v>0.41587766390108993</v>
      </c>
    </row>
    <row r="62" spans="1:15" ht="20">
      <c r="A62" s="11" t="s">
        <v>69</v>
      </c>
      <c r="B62" s="12" t="s">
        <v>1142</v>
      </c>
      <c r="C62" s="11">
        <v>2019</v>
      </c>
      <c r="D62" s="11" t="s">
        <v>803</v>
      </c>
      <c r="E62" s="11">
        <v>8.1</v>
      </c>
      <c r="F62" s="29">
        <f t="shared" si="3"/>
        <v>0.24920127795527156</v>
      </c>
      <c r="H62" s="16" t="s">
        <v>1192</v>
      </c>
      <c r="I62" s="17">
        <v>5278</v>
      </c>
      <c r="J62" s="20">
        <f>Table11[[#This Row],[BIDEN VOTES]]/C128</f>
        <v>0.2112805732356591</v>
      </c>
      <c r="K62" s="18">
        <v>0.312</v>
      </c>
      <c r="L62" s="17">
        <v>11241</v>
      </c>
      <c r="M62" s="64">
        <f>Table11[[#This Row],[TRUMP VOTES]]/C128</f>
        <v>0.44998198630959529</v>
      </c>
      <c r="N62" s="18">
        <v>0.66400000000000003</v>
      </c>
      <c r="O62" s="21">
        <f>1-(Table11[[#This Row],[NbP]]+Table11[[#This Row],[NbP2]])</f>
        <v>0.33873744045474563</v>
      </c>
    </row>
    <row r="63" spans="1:15" ht="20">
      <c r="A63" s="13" t="s">
        <v>69</v>
      </c>
      <c r="B63" s="14" t="s">
        <v>38</v>
      </c>
      <c r="C63" s="13">
        <v>2019</v>
      </c>
      <c r="D63" s="13" t="s">
        <v>803</v>
      </c>
      <c r="E63" s="13">
        <v>20.100000000000001</v>
      </c>
      <c r="F63" s="29">
        <f t="shared" si="3"/>
        <v>0.63258785942492013</v>
      </c>
      <c r="H63" s="16" t="s">
        <v>258</v>
      </c>
      <c r="I63" s="19">
        <v>369</v>
      </c>
      <c r="J63" s="20">
        <f>Table11[[#This Row],[BIDEN VOTES]]/C129</f>
        <v>7.5785582255083181E-2</v>
      </c>
      <c r="K63" s="18">
        <v>0.123</v>
      </c>
      <c r="L63" s="17">
        <v>2595</v>
      </c>
      <c r="M63" s="64">
        <f>Table11[[#This Row],[TRUMP VOTES]]/C129</f>
        <v>0.53296364756623538</v>
      </c>
      <c r="N63" s="18">
        <v>0.86299999999999999</v>
      </c>
      <c r="O63" s="21">
        <f>1-(Table11[[#This Row],[NbP]]+Table11[[#This Row],[NbP2]])</f>
        <v>0.39125077017868148</v>
      </c>
    </row>
    <row r="64" spans="1:15" ht="20">
      <c r="A64" s="11" t="s">
        <v>69</v>
      </c>
      <c r="B64" s="12" t="s">
        <v>1143</v>
      </c>
      <c r="C64" s="11">
        <v>2019</v>
      </c>
      <c r="D64" s="11" t="s">
        <v>803</v>
      </c>
      <c r="E64" s="11">
        <v>11.6</v>
      </c>
      <c r="F64" s="29">
        <f t="shared" si="3"/>
        <v>0.36102236421725237</v>
      </c>
      <c r="H64" s="16" t="s">
        <v>1193</v>
      </c>
      <c r="I64" s="17">
        <v>66060</v>
      </c>
      <c r="J64" s="20">
        <f>Table11[[#This Row],[BIDEN VOTES]]/C130</f>
        <v>0.20945562464131595</v>
      </c>
      <c r="K64" s="18">
        <v>0.39600000000000002</v>
      </c>
      <c r="L64" s="17">
        <v>96145</v>
      </c>
      <c r="M64" s="64">
        <f>Table11[[#This Row],[TRUMP VOTES]]/C130</f>
        <v>0.30484576190038332</v>
      </c>
      <c r="N64" s="18">
        <v>0.57599999999999996</v>
      </c>
      <c r="O64" s="21">
        <f>1-(Table11[[#This Row],[NbP]]+Table11[[#This Row],[NbP2]])</f>
        <v>0.48569861345830079</v>
      </c>
    </row>
    <row r="65" spans="1:15" ht="20">
      <c r="A65" s="59" t="s">
        <v>69</v>
      </c>
      <c r="B65" s="60" t="s">
        <v>968</v>
      </c>
      <c r="C65" s="59">
        <v>2019</v>
      </c>
      <c r="D65" s="59" t="s">
        <v>803</v>
      </c>
      <c r="E65" s="59">
        <v>4.9000000000000004</v>
      </c>
      <c r="F65" s="29">
        <f t="shared" si="3"/>
        <v>0.14696485623003197</v>
      </c>
      <c r="H65" s="16" t="s">
        <v>983</v>
      </c>
      <c r="I65" s="19">
        <v>785</v>
      </c>
      <c r="J65" s="20">
        <f>Table11[[#This Row],[BIDEN VOTES]]/C131</f>
        <v>7.8398082492759411E-2</v>
      </c>
      <c r="K65" s="18">
        <v>0.158</v>
      </c>
      <c r="L65" s="17">
        <v>4107</v>
      </c>
      <c r="M65" s="64">
        <f>Table11[[#This Row],[TRUMP VOTES]]/C131</f>
        <v>0.41016678318186356</v>
      </c>
      <c r="N65" s="18">
        <v>0.82499999999999996</v>
      </c>
      <c r="O65" s="21">
        <f>1-(Table11[[#This Row],[NbP]]+Table11[[#This Row],[NbP2]])</f>
        <v>0.51143513432537702</v>
      </c>
    </row>
    <row r="67" spans="1:15" ht="21">
      <c r="A67" s="77" t="s">
        <v>1670</v>
      </c>
      <c r="B67" s="77" t="s">
        <v>69</v>
      </c>
      <c r="C67" s="77" t="s">
        <v>54</v>
      </c>
    </row>
    <row r="68" spans="1:15" ht="21">
      <c r="A68" s="52">
        <v>5</v>
      </c>
      <c r="B68" s="53" t="s">
        <v>1144</v>
      </c>
      <c r="C68" s="54">
        <v>509844</v>
      </c>
    </row>
    <row r="69" spans="1:15" ht="21">
      <c r="A69" s="52">
        <v>31</v>
      </c>
      <c r="B69" s="53" t="s">
        <v>1145</v>
      </c>
      <c r="C69" s="54">
        <v>16153</v>
      </c>
    </row>
    <row r="70" spans="1:15" ht="21">
      <c r="A70" s="52">
        <v>3</v>
      </c>
      <c r="B70" s="53" t="s">
        <v>1146</v>
      </c>
      <c r="C70" s="54">
        <v>649980</v>
      </c>
    </row>
    <row r="71" spans="1:15" ht="21">
      <c r="A71" s="52">
        <v>34</v>
      </c>
      <c r="B71" s="53" t="s">
        <v>1147</v>
      </c>
      <c r="C71" s="54">
        <v>13588</v>
      </c>
    </row>
    <row r="72" spans="1:15" ht="21">
      <c r="A72" s="52">
        <v>56</v>
      </c>
      <c r="B72" s="53" t="s">
        <v>1148</v>
      </c>
      <c r="C72" s="54">
        <v>3570</v>
      </c>
    </row>
    <row r="73" spans="1:15" ht="21">
      <c r="A73" s="52">
        <v>49</v>
      </c>
      <c r="B73" s="53" t="s">
        <v>1149</v>
      </c>
      <c r="C73" s="54">
        <v>5677</v>
      </c>
    </row>
    <row r="74" spans="1:15" ht="21">
      <c r="A74" s="52">
        <v>8</v>
      </c>
      <c r="B74" s="53" t="s">
        <v>1150</v>
      </c>
      <c r="C74" s="54">
        <v>324682</v>
      </c>
    </row>
    <row r="75" spans="1:15" ht="21">
      <c r="A75" s="52">
        <v>12</v>
      </c>
      <c r="B75" s="53" t="s">
        <v>1194</v>
      </c>
      <c r="C75" s="54">
        <v>69444</v>
      </c>
    </row>
    <row r="76" spans="1:15" ht="21">
      <c r="A76" s="52">
        <v>26</v>
      </c>
      <c r="B76" s="53" t="s">
        <v>1151</v>
      </c>
      <c r="C76" s="54">
        <v>19977</v>
      </c>
    </row>
    <row r="77" spans="1:15" ht="21">
      <c r="A77" s="52">
        <v>58</v>
      </c>
      <c r="B77" s="53" t="s">
        <v>1152</v>
      </c>
      <c r="C77" s="54">
        <v>1999</v>
      </c>
    </row>
    <row r="78" spans="1:15" ht="21">
      <c r="A78" s="52">
        <v>39</v>
      </c>
      <c r="B78" s="53" t="s">
        <v>1153</v>
      </c>
      <c r="C78" s="54">
        <v>9533</v>
      </c>
    </row>
    <row r="79" spans="1:15" ht="21">
      <c r="A79" s="52">
        <v>40</v>
      </c>
      <c r="B79" s="53" t="s">
        <v>1154</v>
      </c>
      <c r="C79" s="54">
        <v>8130</v>
      </c>
    </row>
    <row r="80" spans="1:15" ht="21">
      <c r="A80" s="52">
        <v>55</v>
      </c>
      <c r="B80" s="53" t="s">
        <v>1155</v>
      </c>
      <c r="C80" s="54">
        <v>3810</v>
      </c>
    </row>
    <row r="81" spans="1:3" ht="21">
      <c r="A81" s="52">
        <v>48</v>
      </c>
      <c r="B81" s="53" t="s">
        <v>1156</v>
      </c>
      <c r="C81" s="54">
        <v>5733</v>
      </c>
    </row>
    <row r="82" spans="1:3" ht="21">
      <c r="A82" s="52">
        <v>51</v>
      </c>
      <c r="B82" s="53" t="s">
        <v>1157</v>
      </c>
      <c r="C82" s="54">
        <v>4941</v>
      </c>
    </row>
    <row r="83" spans="1:3" ht="21">
      <c r="A83" s="52">
        <v>18</v>
      </c>
      <c r="B83" s="53" t="s">
        <v>387</v>
      </c>
      <c r="C83" s="54">
        <v>30758</v>
      </c>
    </row>
    <row r="84" spans="1:3" ht="21">
      <c r="A84" s="52">
        <v>1</v>
      </c>
      <c r="B84" s="53" t="s">
        <v>1158</v>
      </c>
      <c r="C84" s="54">
        <v>715878</v>
      </c>
    </row>
    <row r="85" spans="1:3" ht="21">
      <c r="A85" s="52">
        <v>59</v>
      </c>
      <c r="B85" s="53" t="s">
        <v>1159</v>
      </c>
      <c r="C85" s="54">
        <v>1896</v>
      </c>
    </row>
    <row r="86" spans="1:3" ht="21">
      <c r="A86" s="52">
        <v>7</v>
      </c>
      <c r="B86" s="53" t="s">
        <v>276</v>
      </c>
      <c r="C86" s="54">
        <v>344280</v>
      </c>
    </row>
    <row r="87" spans="1:3" ht="21">
      <c r="A87" s="52">
        <v>15</v>
      </c>
      <c r="B87" s="53" t="s">
        <v>1160</v>
      </c>
      <c r="C87" s="54">
        <v>54960</v>
      </c>
    </row>
    <row r="88" spans="1:3" ht="21">
      <c r="A88" s="52">
        <v>2</v>
      </c>
      <c r="B88" s="53" t="s">
        <v>398</v>
      </c>
      <c r="C88" s="54">
        <v>710499</v>
      </c>
    </row>
    <row r="89" spans="1:3" ht="21">
      <c r="A89" s="52">
        <v>22</v>
      </c>
      <c r="B89" s="53" t="s">
        <v>1161</v>
      </c>
      <c r="C89" s="54">
        <v>26230</v>
      </c>
    </row>
    <row r="90" spans="1:3" ht="21">
      <c r="A90" s="52">
        <v>16</v>
      </c>
      <c r="B90" s="53" t="s">
        <v>1162</v>
      </c>
      <c r="C90" s="54">
        <v>47725</v>
      </c>
    </row>
    <row r="91" spans="1:3" ht="21">
      <c r="A91" s="52">
        <v>13</v>
      </c>
      <c r="B91" s="53" t="s">
        <v>1163</v>
      </c>
      <c r="C91" s="54">
        <v>59605</v>
      </c>
    </row>
    <row r="92" spans="1:3" ht="21">
      <c r="A92" s="52">
        <v>47</v>
      </c>
      <c r="B92" s="53" t="s">
        <v>1164</v>
      </c>
      <c r="C92" s="54">
        <v>6108</v>
      </c>
    </row>
    <row r="93" spans="1:3" ht="21">
      <c r="A93" s="52">
        <v>32</v>
      </c>
      <c r="B93" s="53" t="s">
        <v>1165</v>
      </c>
      <c r="C93" s="54">
        <v>15536</v>
      </c>
    </row>
    <row r="94" spans="1:3" ht="21">
      <c r="A94" s="52">
        <v>30</v>
      </c>
      <c r="B94" s="53" t="s">
        <v>1166</v>
      </c>
      <c r="C94" s="54">
        <v>17119</v>
      </c>
    </row>
    <row r="95" spans="1:3" ht="21">
      <c r="A95" s="52">
        <v>63</v>
      </c>
      <c r="B95" s="53" t="s">
        <v>1167</v>
      </c>
      <c r="C95" s="52">
        <v>781</v>
      </c>
    </row>
    <row r="96" spans="1:3" ht="21">
      <c r="A96" s="52">
        <v>44</v>
      </c>
      <c r="B96" s="53" t="s">
        <v>1168</v>
      </c>
      <c r="C96" s="54">
        <v>6769</v>
      </c>
    </row>
    <row r="97" spans="1:3" ht="21">
      <c r="A97" s="52">
        <v>61</v>
      </c>
      <c r="B97" s="53" t="s">
        <v>213</v>
      </c>
      <c r="C97" s="54">
        <v>1316</v>
      </c>
    </row>
    <row r="98" spans="1:3" ht="21">
      <c r="A98" s="52">
        <v>4</v>
      </c>
      <c r="B98" s="53" t="s">
        <v>214</v>
      </c>
      <c r="C98" s="54">
        <v>578795</v>
      </c>
    </row>
    <row r="99" spans="1:3" ht="21">
      <c r="A99" s="52">
        <v>60</v>
      </c>
      <c r="B99" s="53" t="s">
        <v>1169</v>
      </c>
      <c r="C99" s="54">
        <v>1463</v>
      </c>
    </row>
    <row r="100" spans="1:3" ht="21">
      <c r="A100" s="52">
        <v>43</v>
      </c>
      <c r="B100" s="53" t="s">
        <v>1170</v>
      </c>
      <c r="C100" s="54">
        <v>7246</v>
      </c>
    </row>
    <row r="101" spans="1:3" ht="21">
      <c r="A101" s="52">
        <v>14</v>
      </c>
      <c r="B101" s="53" t="s">
        <v>1171</v>
      </c>
      <c r="C101" s="54">
        <v>56138</v>
      </c>
    </row>
    <row r="102" spans="1:3" ht="21">
      <c r="A102" s="52">
        <v>42</v>
      </c>
      <c r="B102" s="53" t="s">
        <v>217</v>
      </c>
      <c r="C102" s="54">
        <v>7845</v>
      </c>
    </row>
    <row r="103" spans="1:3" ht="21">
      <c r="A103" s="52">
        <v>6</v>
      </c>
      <c r="B103" s="53" t="s">
        <v>1172</v>
      </c>
      <c r="C103" s="54">
        <v>350523</v>
      </c>
    </row>
    <row r="104" spans="1:3" ht="21">
      <c r="A104" s="52">
        <v>33</v>
      </c>
      <c r="B104" s="53" t="s">
        <v>1173</v>
      </c>
      <c r="C104" s="54">
        <v>14323</v>
      </c>
    </row>
    <row r="105" spans="1:3" ht="21">
      <c r="A105" s="52">
        <v>50</v>
      </c>
      <c r="B105" s="53" t="s">
        <v>221</v>
      </c>
      <c r="C105" s="54">
        <v>5608</v>
      </c>
    </row>
    <row r="106" spans="1:3" ht="21">
      <c r="A106" s="52">
        <v>25</v>
      </c>
      <c r="B106" s="53" t="s">
        <v>837</v>
      </c>
      <c r="C106" s="54">
        <v>22282</v>
      </c>
    </row>
    <row r="107" spans="1:3" ht="21">
      <c r="A107" s="52">
        <v>11</v>
      </c>
      <c r="B107" s="53" t="s">
        <v>1174</v>
      </c>
      <c r="C107" s="54">
        <v>152962</v>
      </c>
    </row>
    <row r="108" spans="1:3" ht="21">
      <c r="A108" s="52">
        <v>62</v>
      </c>
      <c r="B108" s="53" t="s">
        <v>839</v>
      </c>
      <c r="C108" s="52">
        <v>853</v>
      </c>
    </row>
    <row r="109" spans="1:3" ht="21">
      <c r="A109" s="52">
        <v>35</v>
      </c>
      <c r="B109" s="53" t="s">
        <v>1175</v>
      </c>
      <c r="C109" s="54">
        <v>13150</v>
      </c>
    </row>
    <row r="110" spans="1:3" ht="21">
      <c r="A110" s="52">
        <v>21</v>
      </c>
      <c r="B110" s="53" t="s">
        <v>1176</v>
      </c>
      <c r="C110" s="54">
        <v>26266</v>
      </c>
    </row>
    <row r="111" spans="1:3" ht="21">
      <c r="A111" s="52">
        <v>17</v>
      </c>
      <c r="B111" s="53" t="s">
        <v>1177</v>
      </c>
      <c r="C111" s="54">
        <v>42280</v>
      </c>
    </row>
    <row r="112" spans="1:3" ht="21">
      <c r="A112" s="52">
        <v>20</v>
      </c>
      <c r="B112" s="53" t="s">
        <v>234</v>
      </c>
      <c r="C112" s="54">
        <v>28617</v>
      </c>
    </row>
    <row r="113" spans="1:3" ht="21">
      <c r="A113" s="52">
        <v>28</v>
      </c>
      <c r="B113" s="53" t="s">
        <v>1178</v>
      </c>
      <c r="C113" s="54">
        <v>18284</v>
      </c>
    </row>
    <row r="114" spans="1:3" ht="21">
      <c r="A114" s="52">
        <v>52</v>
      </c>
      <c r="B114" s="53" t="s">
        <v>1179</v>
      </c>
      <c r="C114" s="54">
        <v>4890</v>
      </c>
    </row>
    <row r="115" spans="1:3" ht="21">
      <c r="A115" s="52">
        <v>27</v>
      </c>
      <c r="B115" s="53" t="s">
        <v>1195</v>
      </c>
      <c r="C115" s="54">
        <v>18345</v>
      </c>
    </row>
    <row r="116" spans="1:3" ht="21">
      <c r="A116" s="52">
        <v>54</v>
      </c>
      <c r="B116" s="53" t="s">
        <v>1180</v>
      </c>
      <c r="C116" s="54">
        <v>4343</v>
      </c>
    </row>
    <row r="117" spans="1:3" ht="21">
      <c r="A117" s="52">
        <v>29</v>
      </c>
      <c r="B117" s="53" t="s">
        <v>1181</v>
      </c>
      <c r="C117" s="54">
        <v>17980</v>
      </c>
    </row>
    <row r="118" spans="1:3" ht="21">
      <c r="A118" s="52">
        <v>36</v>
      </c>
      <c r="B118" s="53" t="s">
        <v>1182</v>
      </c>
      <c r="C118" s="54">
        <v>12035</v>
      </c>
    </row>
    <row r="119" spans="1:3" ht="21">
      <c r="A119" s="52">
        <v>10</v>
      </c>
      <c r="B119" s="53" t="s">
        <v>1183</v>
      </c>
      <c r="C119" s="54">
        <v>167412</v>
      </c>
    </row>
    <row r="120" spans="1:3" ht="21">
      <c r="A120" s="52">
        <v>46</v>
      </c>
      <c r="B120" s="53" t="s">
        <v>1184</v>
      </c>
      <c r="C120" s="54">
        <v>6369</v>
      </c>
    </row>
    <row r="121" spans="1:3" ht="21">
      <c r="A121" s="52">
        <v>37</v>
      </c>
      <c r="B121" s="53" t="s">
        <v>1185</v>
      </c>
      <c r="C121" s="54">
        <v>11300</v>
      </c>
    </row>
    <row r="122" spans="1:3" ht="21">
      <c r="A122" s="52">
        <v>23</v>
      </c>
      <c r="B122" s="53" t="s">
        <v>1186</v>
      </c>
      <c r="C122" s="54">
        <v>25317</v>
      </c>
    </row>
    <row r="123" spans="1:3" ht="21">
      <c r="A123" s="52">
        <v>45</v>
      </c>
      <c r="B123" s="53" t="s">
        <v>1187</v>
      </c>
      <c r="C123" s="54">
        <v>6730</v>
      </c>
    </row>
    <row r="124" spans="1:3" ht="21">
      <c r="A124" s="52">
        <v>64</v>
      </c>
      <c r="B124" s="53" t="s">
        <v>1188</v>
      </c>
      <c r="C124" s="52">
        <v>646</v>
      </c>
    </row>
    <row r="125" spans="1:3" ht="21">
      <c r="A125" s="52">
        <v>41</v>
      </c>
      <c r="B125" s="53" t="s">
        <v>1189</v>
      </c>
      <c r="C125" s="54">
        <v>8110</v>
      </c>
    </row>
    <row r="126" spans="1:3" ht="21">
      <c r="A126" s="52">
        <v>57</v>
      </c>
      <c r="B126" s="53" t="s">
        <v>1190</v>
      </c>
      <c r="C126" s="54">
        <v>2306</v>
      </c>
    </row>
    <row r="127" spans="1:3" ht="21">
      <c r="A127" s="52">
        <v>19</v>
      </c>
      <c r="B127" s="53" t="s">
        <v>1191</v>
      </c>
      <c r="C127" s="54">
        <v>30735</v>
      </c>
    </row>
    <row r="128" spans="1:3" ht="21">
      <c r="A128" s="52">
        <v>24</v>
      </c>
      <c r="B128" s="53" t="s">
        <v>1192</v>
      </c>
      <c r="C128" s="54">
        <v>24981</v>
      </c>
    </row>
    <row r="129" spans="1:3" ht="21">
      <c r="A129" s="52">
        <v>53</v>
      </c>
      <c r="B129" s="53" t="s">
        <v>258</v>
      </c>
      <c r="C129" s="54">
        <v>4869</v>
      </c>
    </row>
    <row r="130" spans="1:3" ht="21">
      <c r="A130" s="52">
        <v>9</v>
      </c>
      <c r="B130" s="53" t="s">
        <v>1193</v>
      </c>
      <c r="C130" s="54">
        <v>315389</v>
      </c>
    </row>
    <row r="131" spans="1:3" ht="21">
      <c r="A131" s="52">
        <v>38</v>
      </c>
      <c r="B131" s="53" t="s">
        <v>983</v>
      </c>
      <c r="C131" s="54">
        <v>10013</v>
      </c>
    </row>
  </sheetData>
  <hyperlinks>
    <hyperlink ref="B84" r:id="rId1" display="https://www.colorado-demographics.com/denver-county-demographics" xr:uid="{3BFAFEC5-E031-074F-849D-8520801B9E98}"/>
    <hyperlink ref="B88" r:id="rId2" display="https://www.colorado-demographics.com/el-paso-county-demographics" xr:uid="{9560000D-AC6A-204A-954B-16CD1C487A93}"/>
    <hyperlink ref="B70" r:id="rId3" display="https://www.colorado-demographics.com/arapahoe-county-demographics" xr:uid="{FB0686DF-816F-FB45-A7CD-BEC83C3D7BCC}"/>
    <hyperlink ref="B98" r:id="rId4" display="https://www.colorado-demographics.com/jefferson-county-demographics" xr:uid="{DBDA4A01-7D85-2341-98F0-3C0A3B2BD092}"/>
    <hyperlink ref="B68" r:id="rId5" display="https://www.colorado-demographics.com/adams-county-demographics" xr:uid="{189B1F05-B3FB-5545-AC8A-756541E2EA0F}"/>
    <hyperlink ref="B103" r:id="rId6" display="https://www.colorado-demographics.com/larimer-county-demographics" xr:uid="{4406D937-9C0C-1B42-A390-4FC270F6E231}"/>
    <hyperlink ref="B86" r:id="rId7" display="https://www.colorado-demographics.com/douglas-county-demographics" xr:uid="{5B03B980-A519-E543-A377-B197852C81B3}"/>
    <hyperlink ref="B74" r:id="rId8" display="https://www.colorado-demographics.com/boulder-county-demographics" xr:uid="{77BF7EEF-0AE1-2443-BE87-4EBDF84F3524}"/>
    <hyperlink ref="B130" r:id="rId9" display="https://www.colorado-demographics.com/weld-county-demographics" xr:uid="{9D47B530-7E10-B940-8468-A8D3E4CE5407}"/>
    <hyperlink ref="B119" r:id="rId10" display="https://www.colorado-demographics.com/pueblo-county-demographics" xr:uid="{79F45C73-A09D-5E4C-877E-2CD117E7A371}"/>
    <hyperlink ref="B107" r:id="rId11" display="https://www.colorado-demographics.com/mesa-county-demographics" xr:uid="{E554C0B5-B253-DC4A-BB52-1A16E5E52BF9}"/>
    <hyperlink ref="B75" r:id="rId12" display="https://www.colorado-demographics.com/broomfield-county-demographics" xr:uid="{A68CE09B-D344-584D-8E5F-9A5813C1BED3}"/>
    <hyperlink ref="B91" r:id="rId13" display="https://www.colorado-demographics.com/garfield-county-demographics" xr:uid="{4ECF4221-1D7A-2E46-8AEE-0062D0D9FDCF}"/>
    <hyperlink ref="B101" r:id="rId14" display="https://www.colorado-demographics.com/la-plata-county-demographics" xr:uid="{D93DF67C-6F07-6E4C-B54B-470DCD6BAC7B}"/>
    <hyperlink ref="B87" r:id="rId15" display="https://www.colorado-demographics.com/eagle-county-demographics" xr:uid="{665B68A9-1433-044D-919E-481064402283}"/>
    <hyperlink ref="B90" r:id="rId16" display="https://www.colorado-demographics.com/fremont-county-demographics" xr:uid="{52A75009-65ED-9548-953E-8A2D168AE4DB}"/>
    <hyperlink ref="B111" r:id="rId17" display="https://www.colorado-demographics.com/montrose-county-demographics" xr:uid="{45104849-335F-E84D-80CB-F53282216D52}"/>
    <hyperlink ref="B83" r:id="rId18" display="https://www.colorado-demographics.com/delta-county-demographics" xr:uid="{EBDC8A10-E4C1-9D46-B767-FECC3A3457F6}"/>
    <hyperlink ref="B127" r:id="rId19" display="https://www.colorado-demographics.com/summit-county-demographics" xr:uid="{DCF00559-F002-1B4B-9B5B-9FE7417C8C71}"/>
    <hyperlink ref="B112" r:id="rId20" display="https://www.colorado-demographics.com/morgan-county-demographics" xr:uid="{1C9BAA60-D184-BA44-BC96-1BEEEDCC0091}"/>
    <hyperlink ref="B110" r:id="rId21" display="https://www.colorado-demographics.com/montezuma-county-demographics" xr:uid="{63DA915A-4385-B849-AE24-49A9B7811D63}"/>
    <hyperlink ref="B89" r:id="rId22" display="https://www.colorado-demographics.com/elbert-county-demographics" xr:uid="{FB4EDED6-9A1D-024F-B492-E2388C1196B6}"/>
    <hyperlink ref="B122" r:id="rId23" display="https://www.colorado-demographics.com/routt-county-demographics" xr:uid="{FFB015E0-BBF6-C94C-BDCD-6ED9F079FC76}"/>
    <hyperlink ref="B128" r:id="rId24" display="https://www.colorado-demographics.com/teller-county-demographics" xr:uid="{113E546B-5558-A341-8810-8BBBD2175E76}"/>
    <hyperlink ref="B106" r:id="rId25" display="https://www.colorado-demographics.com/logan-county-demographics" xr:uid="{76F9930E-2973-EF45-BF67-8B439C2038AC}"/>
    <hyperlink ref="B76" r:id="rId26" display="https://www.colorado-demographics.com/chaffee-county-demographics" xr:uid="{B334A69B-AE5B-884A-8713-701CC0288889}"/>
    <hyperlink ref="B115" r:id="rId27" display="https://www.colorado-demographics.com/park-county-demographics" xr:uid="{BBBC35BB-D5F2-1A4C-AC49-91DB42D44A8C}"/>
    <hyperlink ref="B113" r:id="rId28" display="https://www.colorado-demographics.com/otero-county-demographics" xr:uid="{273FB69C-91A1-D84B-9FD8-2DFFA1798E3D}"/>
    <hyperlink ref="B117" r:id="rId29" display="https://www.colorado-demographics.com/pitkin-county-demographics" xr:uid="{165E6FE3-AA74-524C-B799-0CD79612AFE7}"/>
    <hyperlink ref="B94" r:id="rId30" display="https://www.colorado-demographics.com/gunnison-county-demographics" xr:uid="{1C3BF48B-83AF-374B-9D9B-DFCD6F95D96D}"/>
    <hyperlink ref="B69" r:id="rId31" display="https://www.colorado-demographics.com/alamosa-county-demographics" xr:uid="{F7A3ED60-2351-4E4C-A185-21E6929741A9}"/>
    <hyperlink ref="B93" r:id="rId32" display="https://www.colorado-demographics.com/grand-county-demographics" xr:uid="{4A2CA8A4-1539-7A40-9D20-D3F61E7A0B64}"/>
    <hyperlink ref="B104" r:id="rId33" display="https://www.colorado-demographics.com/las-animas-county-demographics" xr:uid="{B53C73D8-08F8-DE4D-9339-BCEE3240050A}"/>
    <hyperlink ref="B71" r:id="rId34" display="https://www.colorado-demographics.com/archuleta-county-demographics" xr:uid="{770EF72F-C7EF-2348-A394-4E27E3E79761}"/>
    <hyperlink ref="B109" r:id="rId35" display="https://www.colorado-demographics.com/moffat-county-demographics" xr:uid="{F7D3BBA4-8BF4-2945-9832-C4C32B315530}"/>
    <hyperlink ref="B118" r:id="rId36" display="https://www.colorado-demographics.com/prowers-county-demographics" xr:uid="{50D230B4-4D02-1042-A8BB-C9E32B03DA44}"/>
    <hyperlink ref="B121" r:id="rId37" display="https://www.colorado-demographics.com/rio-grande-county-demographics" xr:uid="{67EC367C-D572-EB46-BC3A-92497E382F5D}"/>
    <hyperlink ref="B131" r:id="rId38" display="https://www.colorado-demographics.com/yuma-county-demographics" xr:uid="{CFC7D8C6-EDC4-5146-B814-01C301B27B56}"/>
    <hyperlink ref="B78" r:id="rId39" display="https://www.colorado-demographics.com/clear-creek-county-demographics" xr:uid="{0F6C9672-9E13-514D-B034-6F26F2107C77}"/>
    <hyperlink ref="B79" r:id="rId40" display="https://www.colorado-demographics.com/conejos-county-demographics" xr:uid="{98F033AD-176A-2746-8E28-C9FA945CD2E6}"/>
    <hyperlink ref="B125" r:id="rId41" display="https://www.colorado-demographics.com/san-miguel-county-demographics" xr:uid="{399EC7ED-AEAF-E04E-84E7-3589CE1B256B}"/>
    <hyperlink ref="B102" r:id="rId42" display="https://www.colorado-demographics.com/lake-county-demographics" xr:uid="{461E0FE5-C9BB-D64B-9B21-5BF4A89074E3}"/>
    <hyperlink ref="B100" r:id="rId43" display="https://www.colorado-demographics.com/kit-carson-county-demographics" xr:uid="{D6C04F7F-6828-F140-9D44-B0AAA55B388E}"/>
    <hyperlink ref="B96" r:id="rId44" display="https://www.colorado-demographics.com/huerfano-county-demographics" xr:uid="{6620866B-14DB-5A4F-B874-65CDAC061D0B}"/>
    <hyperlink ref="B123" r:id="rId45" display="https://www.colorado-demographics.com/saguache-county-demographics" xr:uid="{5F1ED04A-C0F5-9D47-94B8-6E969AB66963}"/>
    <hyperlink ref="B120" r:id="rId46" display="https://www.colorado-demographics.com/rio-blanco-county-demographics" xr:uid="{AB85F32F-592D-1E4A-B1A5-5CA621DF456B}"/>
    <hyperlink ref="B92" r:id="rId47" display="https://www.colorado-demographics.com/gilpin-county-demographics" xr:uid="{55B1F0F7-612B-4940-837F-C485DDCA6624}"/>
    <hyperlink ref="B81" r:id="rId48" display="https://www.colorado-demographics.com/crowley-county-demographics" xr:uid="{51DBFC38-1A89-2743-BCE0-2D07814F4041}"/>
    <hyperlink ref="B73" r:id="rId49" display="https://www.colorado-demographics.com/bent-county-demographics" xr:uid="{2AC1AEE2-2B0B-474D-86B7-1046CBCFB74E}"/>
    <hyperlink ref="B105" r:id="rId50" display="https://www.colorado-demographics.com/lincoln-county-demographics" xr:uid="{2D9BC7F6-2717-004B-AD24-E54785D9F992}"/>
    <hyperlink ref="B82" r:id="rId51" display="https://www.colorado-demographics.com/custer-county-demographics" xr:uid="{C89D7A77-EAB1-9A4B-92C3-2F3A77D873CE}"/>
    <hyperlink ref="B114" r:id="rId52" display="https://www.colorado-demographics.com/ouray-county-demographics" xr:uid="{8A8407AF-8F1D-C74E-8AE4-F9D05E6DC461}"/>
    <hyperlink ref="B129" r:id="rId53" display="https://www.colorado-demographics.com/washington-county-demographics" xr:uid="{19B2532F-AD87-114E-B2A0-E641CAA73727}"/>
    <hyperlink ref="B116" r:id="rId54" display="https://www.colorado-demographics.com/phillips-county-demographics" xr:uid="{5DA9D0FD-B9DA-6341-B277-E85A9C3AEA2B}"/>
    <hyperlink ref="B80" r:id="rId55" display="https://www.colorado-demographics.com/costilla-county-demographics" xr:uid="{AA8455F9-EB74-5146-8AD2-B81700E20856}"/>
    <hyperlink ref="B72" r:id="rId56" display="https://www.colorado-demographics.com/baca-county-demographics" xr:uid="{CD91B73E-B755-7748-A39E-4926404924F6}"/>
    <hyperlink ref="B126" r:id="rId57" display="https://www.colorado-demographics.com/sedgwick-county-demographics" xr:uid="{FE234523-1E09-7A46-A0B9-60D98A418765}"/>
    <hyperlink ref="B77" r:id="rId58" display="https://www.colorado-demographics.com/cheyenne-county-demographics" xr:uid="{BB9E9892-4BD9-0F45-B1B1-E029B2D8E6A3}"/>
    <hyperlink ref="B85" r:id="rId59" display="https://www.colorado-demographics.com/dolores-county-demographics" xr:uid="{F9735D6F-727E-3E4D-9C90-7E7A23735339}"/>
    <hyperlink ref="B99" r:id="rId60" display="https://www.colorado-demographics.com/kiowa-county-demographics" xr:uid="{9E090CCB-5C1C-AB47-8ABA-ECF4257684E9}"/>
    <hyperlink ref="B97" r:id="rId61" display="https://www.colorado-demographics.com/jackson-county-demographics" xr:uid="{BE311C3F-8A5F-7A4D-A96B-AA8178EFCB0F}"/>
    <hyperlink ref="B108" r:id="rId62" display="https://www.colorado-demographics.com/mineral-county-demographics" xr:uid="{D9C99554-8AEB-F948-9BFA-269960356318}"/>
    <hyperlink ref="B95" r:id="rId63" display="https://www.colorado-demographics.com/hinsdale-county-demographics" xr:uid="{39996895-9BD8-1A4F-8D35-75F5EBAC3BB1}"/>
    <hyperlink ref="B124" r:id="rId64" display="https://www.colorado-demographics.com/san-juan-county-demographics" xr:uid="{7CCFB8D4-090F-B24C-9C42-F03B3327BF80}"/>
  </hyperlinks>
  <pageMargins left="0.7" right="0.7" top="0.75" bottom="0.75" header="0.3" footer="0.3"/>
  <tableParts count="3">
    <tablePart r:id="rId65"/>
    <tablePart r:id="rId66"/>
    <tablePart r:id="rId6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4A49-CBA3-E047-A350-69DD43A7FA18}">
  <dimension ref="A1:S25"/>
  <sheetViews>
    <sheetView workbookViewId="0">
      <selection activeCell="R2" sqref="R2:R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7" customWidth="1"/>
    <col min="5" max="5" width="6" customWidth="1"/>
    <col min="7" max="7" width="7.33203125" customWidth="1"/>
    <col min="8" max="8" width="26.33203125" bestFit="1" customWidth="1"/>
    <col min="9" max="9" width="15.6640625" customWidth="1"/>
    <col min="10" max="10" width="13" style="21" bestFit="1" customWidth="1"/>
    <col min="11" max="11" width="14.5" customWidth="1"/>
    <col min="12" max="12" width="18.33203125" customWidth="1"/>
    <col min="13" max="13" width="12" style="21" customWidth="1"/>
    <col min="14" max="14" width="15.5" customWidth="1"/>
    <col min="15" max="15" width="12" style="21" customWidth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t="s">
        <v>1686</v>
      </c>
      <c r="H1" s="15" t="s">
        <v>165</v>
      </c>
      <c r="I1" s="15" t="s">
        <v>168</v>
      </c>
      <c r="J1" s="55" t="s">
        <v>1677</v>
      </c>
      <c r="K1" s="15" t="s">
        <v>169</v>
      </c>
      <c r="L1" s="15" t="s">
        <v>166</v>
      </c>
      <c r="M1" s="55" t="s">
        <v>1687</v>
      </c>
      <c r="N1" s="15" t="s">
        <v>167</v>
      </c>
      <c r="O1" s="55" t="s">
        <v>62</v>
      </c>
      <c r="R1" t="s">
        <v>267</v>
      </c>
      <c r="S1" t="s">
        <v>328</v>
      </c>
    </row>
    <row r="2" spans="1:19" ht="20">
      <c r="A2" s="13" t="s">
        <v>69</v>
      </c>
      <c r="B2" s="14" t="s">
        <v>1197</v>
      </c>
      <c r="C2" s="13">
        <v>2008</v>
      </c>
      <c r="D2" s="13" t="s">
        <v>803</v>
      </c>
      <c r="E2" s="13">
        <v>6.7</v>
      </c>
      <c r="F2" s="29">
        <f t="shared" ref="F2:F9" si="0">(E2-MIN(E:E))/(MAX(E:E)-MIN(E:E))</f>
        <v>0.29268292682926839</v>
      </c>
      <c r="H2" s="16" t="s">
        <v>1204</v>
      </c>
      <c r="I2" s="17">
        <v>44006</v>
      </c>
      <c r="J2" s="21">
        <f>Table14[[#This Row],[BIDEN VOTES]]/C12</f>
        <v>4.6601419455134248E-2</v>
      </c>
      <c r="K2" s="18">
        <v>0.54700000000000004</v>
      </c>
      <c r="L2" s="17">
        <v>34819</v>
      </c>
      <c r="M2" s="21">
        <f>Table14[[#This Row],[TRUMP VOTES]]/C12</f>
        <v>3.6872581557249449E-2</v>
      </c>
      <c r="N2" s="18">
        <v>0.433</v>
      </c>
      <c r="O2" s="66">
        <f>1-(Table14[[#This Row],[NbP]]+Table14[[#This Row],[NbP2]])</f>
        <v>0.91652599898761633</v>
      </c>
      <c r="Q2" t="s">
        <v>326</v>
      </c>
      <c r="R2">
        <f>CORREL(F:F,J:J)</f>
        <v>7.3086654936601131E-2</v>
      </c>
      <c r="S2">
        <v>0.1</v>
      </c>
    </row>
    <row r="3" spans="1:19" ht="20">
      <c r="A3" s="13" t="s">
        <v>69</v>
      </c>
      <c r="B3" s="14" t="s">
        <v>1198</v>
      </c>
      <c r="C3" s="13">
        <v>2008</v>
      </c>
      <c r="D3" s="13" t="s">
        <v>803</v>
      </c>
      <c r="E3" s="13">
        <v>10.5</v>
      </c>
      <c r="F3" s="29">
        <f t="shared" si="0"/>
        <v>0.75609756097560987</v>
      </c>
      <c r="H3" s="16" t="s">
        <v>1205</v>
      </c>
      <c r="I3" s="17">
        <v>242629</v>
      </c>
      <c r="J3" s="56">
        <f>Table14[[#This Row],[BIDEN VOTES]]/C13</f>
        <v>0.2719589577124103</v>
      </c>
      <c r="K3" s="18">
        <v>0.58099999999999996</v>
      </c>
      <c r="L3" s="17">
        <v>169892</v>
      </c>
      <c r="M3" s="56">
        <f>Table14[[#This Row],[TRUMP VOTES]]/C13</f>
        <v>0.19042922010013977</v>
      </c>
      <c r="N3" s="18">
        <v>0.40699999999999997</v>
      </c>
      <c r="O3" s="66">
        <f>1-(Table14[[#This Row],[NbP]]+Table14[[#This Row],[NbP2]])</f>
        <v>0.53761182218744996</v>
      </c>
      <c r="Q3" t="s">
        <v>325</v>
      </c>
      <c r="R3">
        <f>CORREL(F:F,M:M)</f>
        <v>0.16613827872620232</v>
      </c>
      <c r="S3" s="1">
        <v>0.1</v>
      </c>
    </row>
    <row r="4" spans="1:19" ht="20">
      <c r="A4" s="13" t="s">
        <v>69</v>
      </c>
      <c r="B4" s="14" t="s">
        <v>1199</v>
      </c>
      <c r="C4" s="13">
        <v>2008</v>
      </c>
      <c r="D4" s="13" t="s">
        <v>803</v>
      </c>
      <c r="E4" s="13">
        <v>4.3</v>
      </c>
      <c r="F4" s="29">
        <f t="shared" si="0"/>
        <v>0</v>
      </c>
      <c r="H4" s="16" t="s">
        <v>1206</v>
      </c>
      <c r="I4" s="17">
        <v>26701</v>
      </c>
      <c r="J4" s="56">
        <f>Table14[[#This Row],[BIDEN VOTES]]/C14</f>
        <v>3.1202489561580539E-2</v>
      </c>
      <c r="K4" s="18">
        <v>0.46800000000000003</v>
      </c>
      <c r="L4" s="17">
        <v>29141</v>
      </c>
      <c r="M4" s="56">
        <f>Table14[[#This Row],[TRUMP VOTES]]/C14</f>
        <v>3.4053846234748456E-2</v>
      </c>
      <c r="N4" s="18">
        <v>0.51100000000000001</v>
      </c>
      <c r="O4" s="66">
        <f>1-(Table14[[#This Row],[NbP]]+Table14[[#This Row],[NbP2]])</f>
        <v>0.93474366420367105</v>
      </c>
      <c r="Q4" t="s">
        <v>822</v>
      </c>
      <c r="R4">
        <f>CORREL(F:F,O:O)</f>
        <v>-0.10611170252673191</v>
      </c>
      <c r="S4" s="1">
        <v>0.1</v>
      </c>
    </row>
    <row r="5" spans="1:19" ht="20">
      <c r="A5" s="13" t="s">
        <v>69</v>
      </c>
      <c r="B5" s="14" t="s">
        <v>813</v>
      </c>
      <c r="C5" s="13">
        <v>2008</v>
      </c>
      <c r="D5" s="13" t="s">
        <v>803</v>
      </c>
      <c r="E5" s="13">
        <v>5.5</v>
      </c>
      <c r="F5" s="29">
        <f t="shared" si="0"/>
        <v>0.14634146341463419</v>
      </c>
      <c r="H5" s="16" t="s">
        <v>1207</v>
      </c>
      <c r="I5" s="17">
        <v>283368</v>
      </c>
      <c r="J5" s="56">
        <f>Table14[[#This Row],[BIDEN VOTES]]/C15</f>
        <v>1.061828319618688</v>
      </c>
      <c r="K5" s="18">
        <v>0.63100000000000001</v>
      </c>
      <c r="L5" s="17">
        <v>159024</v>
      </c>
      <c r="M5" s="56">
        <f>Table14[[#This Row],[TRUMP VOTES]]/C15</f>
        <v>0.59589010297225598</v>
      </c>
      <c r="N5" s="18">
        <v>0.35399999999999998</v>
      </c>
      <c r="O5" s="66">
        <f>1-(Table14[[#This Row],[NbP]]+Table14[[#This Row],[NbP2]])</f>
        <v>-0.65771842259094404</v>
      </c>
    </row>
    <row r="6" spans="1:19" ht="20">
      <c r="A6" s="13" t="s">
        <v>69</v>
      </c>
      <c r="B6" s="14" t="s">
        <v>1200</v>
      </c>
      <c r="C6" s="13">
        <v>2008</v>
      </c>
      <c r="D6" s="13" t="s">
        <v>803</v>
      </c>
      <c r="E6" s="13">
        <v>12.5</v>
      </c>
      <c r="F6" s="29">
        <f t="shared" si="0"/>
        <v>1</v>
      </c>
      <c r="H6" s="16" t="s">
        <v>1208</v>
      </c>
      <c r="I6" s="17">
        <v>50164</v>
      </c>
      <c r="J6" s="56">
        <f>Table14[[#This Row],[BIDEN VOTES]]/C16</f>
        <v>0.2769303809697311</v>
      </c>
      <c r="K6" s="18">
        <v>0.46700000000000003</v>
      </c>
      <c r="L6" s="17">
        <v>55601</v>
      </c>
      <c r="M6" s="56">
        <f>Table14[[#This Row],[TRUMP VOTES]]/C16</f>
        <v>0.30694534152575592</v>
      </c>
      <c r="N6" s="18">
        <v>0.51700000000000002</v>
      </c>
      <c r="O6" s="66">
        <f>1-(Table14[[#This Row],[NbP]]+Table14[[#This Row],[NbP2]])</f>
        <v>0.41612427750451297</v>
      </c>
    </row>
    <row r="7" spans="1:19" ht="20">
      <c r="A7" s="13" t="s">
        <v>69</v>
      </c>
      <c r="B7" s="14" t="s">
        <v>1201</v>
      </c>
      <c r="C7" s="13">
        <v>2008</v>
      </c>
      <c r="D7" s="13" t="s">
        <v>803</v>
      </c>
      <c r="E7" s="13">
        <v>9.4</v>
      </c>
      <c r="F7" s="29">
        <f t="shared" si="0"/>
        <v>0.62195121951219523</v>
      </c>
      <c r="H7" s="16" t="s">
        <v>1209</v>
      </c>
      <c r="I7" s="17">
        <v>297505</v>
      </c>
      <c r="J7" s="56">
        <f>Table14[[#This Row],[BIDEN VOTES]]/C17</f>
        <v>1.8280775706332724</v>
      </c>
      <c r="K7" s="18">
        <v>0.629</v>
      </c>
      <c r="L7" s="17">
        <v>169039</v>
      </c>
      <c r="M7" s="56">
        <f>Table14[[#This Row],[TRUMP VOTES]]/C17</f>
        <v>1.0386931462068796</v>
      </c>
      <c r="N7" s="18">
        <v>0.35799999999999998</v>
      </c>
      <c r="O7" s="66">
        <f>1-(Table14[[#This Row],[NbP]]+Table14[[#This Row],[NbP2]])</f>
        <v>-1.8667707168401519</v>
      </c>
    </row>
    <row r="8" spans="1:19" ht="20">
      <c r="A8" s="13" t="s">
        <v>69</v>
      </c>
      <c r="B8" s="14" t="s">
        <v>1202</v>
      </c>
      <c r="C8" s="13">
        <v>2008</v>
      </c>
      <c r="D8" s="13" t="s">
        <v>803</v>
      </c>
      <c r="E8" s="13">
        <v>5</v>
      </c>
      <c r="F8" s="29">
        <f t="shared" si="0"/>
        <v>8.536585365853662E-2</v>
      </c>
      <c r="H8" s="16" t="s">
        <v>1210</v>
      </c>
      <c r="I8" s="17">
        <v>79459</v>
      </c>
      <c r="J8" s="56">
        <f>Table14[[#This Row],[BIDEN VOTES]]/C18</f>
        <v>0.52640330712104244</v>
      </c>
      <c r="K8" s="18">
        <v>0.56899999999999995</v>
      </c>
      <c r="L8" s="17">
        <v>57110</v>
      </c>
      <c r="M8" s="56">
        <f>Table14[[#This Row],[TRUMP VOTES]]/C18</f>
        <v>0.37834471701988115</v>
      </c>
      <c r="N8" s="18">
        <v>0.40899999999999997</v>
      </c>
      <c r="O8" s="66">
        <f>1-(Table14[[#This Row],[NbP]]+Table14[[#This Row],[NbP2]])</f>
        <v>9.525197585907641E-2</v>
      </c>
    </row>
    <row r="9" spans="1:19" ht="20">
      <c r="A9" s="59" t="s">
        <v>69</v>
      </c>
      <c r="B9" s="60" t="s">
        <v>1203</v>
      </c>
      <c r="C9" s="59">
        <v>2008</v>
      </c>
      <c r="D9" s="59" t="s">
        <v>803</v>
      </c>
      <c r="E9" s="59">
        <v>11.5</v>
      </c>
      <c r="F9" s="29">
        <f t="shared" si="0"/>
        <v>0.87804878048780499</v>
      </c>
      <c r="H9" s="16" t="s">
        <v>795</v>
      </c>
      <c r="I9" s="17">
        <v>56848</v>
      </c>
      <c r="J9" s="56">
        <f>Table14[[#This Row],[BIDEN VOTES]]/C19</f>
        <v>0.4873089484557292</v>
      </c>
      <c r="K9" s="18">
        <v>0.57299999999999995</v>
      </c>
      <c r="L9" s="17">
        <v>40665</v>
      </c>
      <c r="M9" s="56">
        <f>Table14[[#This Row],[TRUMP VOTES]]/C19</f>
        <v>0.34858602569927222</v>
      </c>
      <c r="N9" s="18">
        <v>0.41</v>
      </c>
      <c r="O9" s="66">
        <f>1-(Table14[[#This Row],[NbP]]+Table14[[#This Row],[NbP2]])</f>
        <v>0.16410502584499853</v>
      </c>
    </row>
    <row r="11" spans="1:19" ht="21">
      <c r="A11" s="77" t="s">
        <v>1670</v>
      </c>
      <c r="B11" s="77" t="s">
        <v>69</v>
      </c>
      <c r="C11" s="77" t="s">
        <v>54</v>
      </c>
    </row>
    <row r="12" spans="1:19" ht="21">
      <c r="A12" s="52">
        <v>1</v>
      </c>
      <c r="B12" s="53" t="s">
        <v>1209</v>
      </c>
      <c r="C12" s="54">
        <v>944306</v>
      </c>
    </row>
    <row r="13" spans="1:19" ht="21">
      <c r="A13" s="52">
        <v>2</v>
      </c>
      <c r="B13" s="53" t="s">
        <v>1207</v>
      </c>
      <c r="C13" s="54">
        <v>892153</v>
      </c>
    </row>
    <row r="14" spans="1:19" ht="21">
      <c r="A14" s="52">
        <v>3</v>
      </c>
      <c r="B14" s="53" t="s">
        <v>1205</v>
      </c>
      <c r="C14" s="54">
        <v>855733</v>
      </c>
    </row>
    <row r="15" spans="1:19" ht="21">
      <c r="A15" s="52">
        <v>4</v>
      </c>
      <c r="B15" s="53" t="s">
        <v>1210</v>
      </c>
      <c r="C15" s="54">
        <v>266868</v>
      </c>
    </row>
    <row r="16" spans="1:19" ht="21">
      <c r="A16" s="52">
        <v>5</v>
      </c>
      <c r="B16" s="53" t="s">
        <v>1208</v>
      </c>
      <c r="C16" s="54">
        <v>181143</v>
      </c>
    </row>
    <row r="17" spans="1:15" ht="21">
      <c r="A17" s="52">
        <v>6</v>
      </c>
      <c r="B17" s="53" t="s">
        <v>795</v>
      </c>
      <c r="C17" s="54">
        <v>162742</v>
      </c>
      <c r="I17" s="15"/>
      <c r="J17" s="55"/>
      <c r="K17" s="15"/>
      <c r="L17" s="15"/>
      <c r="M17" s="55"/>
      <c r="N17" s="15"/>
      <c r="O17" s="55"/>
    </row>
    <row r="18" spans="1:15" ht="21">
      <c r="A18" s="52">
        <v>7</v>
      </c>
      <c r="B18" s="53" t="s">
        <v>1204</v>
      </c>
      <c r="C18" s="54">
        <v>150947</v>
      </c>
      <c r="I18" s="16"/>
      <c r="J18" s="67"/>
      <c r="K18" s="17"/>
      <c r="L18" s="18"/>
      <c r="M18" s="66"/>
      <c r="N18" s="17"/>
      <c r="O18" s="66"/>
    </row>
    <row r="19" spans="1:15" ht="21">
      <c r="A19" s="52">
        <v>8</v>
      </c>
      <c r="B19" s="53" t="s">
        <v>1206</v>
      </c>
      <c r="C19" s="54">
        <v>116657</v>
      </c>
      <c r="I19" s="16"/>
      <c r="J19" s="67"/>
      <c r="K19" s="17"/>
      <c r="L19" s="18"/>
      <c r="M19" s="66"/>
      <c r="N19" s="17"/>
      <c r="O19" s="66"/>
    </row>
    <row r="20" spans="1:15" ht="20">
      <c r="I20" s="16"/>
      <c r="J20" s="67"/>
      <c r="K20" s="17"/>
      <c r="L20" s="18"/>
      <c r="M20" s="66"/>
      <c r="N20" s="17"/>
      <c r="O20" s="66"/>
    </row>
    <row r="21" spans="1:15" ht="20">
      <c r="I21" s="16"/>
      <c r="J21" s="67"/>
      <c r="K21" s="17"/>
      <c r="L21" s="18"/>
      <c r="M21" s="66"/>
      <c r="N21" s="17"/>
      <c r="O21" s="66"/>
    </row>
    <row r="22" spans="1:15" ht="20">
      <c r="I22" s="16"/>
      <c r="J22" s="67"/>
      <c r="K22" s="17"/>
      <c r="L22" s="18"/>
      <c r="M22" s="66"/>
      <c r="N22" s="17"/>
      <c r="O22" s="66"/>
    </row>
    <row r="23" spans="1:15" ht="20">
      <c r="I23" s="16"/>
      <c r="J23" s="67"/>
      <c r="K23" s="17"/>
      <c r="L23" s="18"/>
      <c r="M23" s="66"/>
      <c r="N23" s="17"/>
      <c r="O23" s="66"/>
    </row>
    <row r="24" spans="1:15" ht="20">
      <c r="I24" s="16"/>
      <c r="J24" s="67"/>
      <c r="K24" s="17"/>
      <c r="L24" s="18"/>
      <c r="M24" s="66"/>
      <c r="N24" s="17"/>
      <c r="O24" s="66"/>
    </row>
    <row r="25" spans="1:15" ht="20">
      <c r="I25" s="16"/>
      <c r="J25" s="67"/>
      <c r="K25" s="17"/>
      <c r="L25" s="18"/>
      <c r="M25" s="66"/>
      <c r="N25" s="17"/>
      <c r="O25" s="66"/>
    </row>
  </sheetData>
  <hyperlinks>
    <hyperlink ref="B12" r:id="rId1" display="https://www.connecticut-demographics.com/fairfield-county-demographics" xr:uid="{FDEF3CFF-E75B-E149-8A95-510E5E262116}"/>
    <hyperlink ref="B13" r:id="rId2" display="https://www.connecticut-demographics.com/hartford-county-demographics" xr:uid="{2299E397-676D-E446-BBBA-FD16E0CBE7CA}"/>
    <hyperlink ref="B14" r:id="rId3" display="https://www.connecticut-demographics.com/new-haven-county-demographics" xr:uid="{F9439AB9-251F-8046-881D-DE1601D67C59}"/>
    <hyperlink ref="B15" r:id="rId4" display="https://www.connecticut-demographics.com/new-london-county-demographics" xr:uid="{ECE8C87E-CA7F-D44D-8F04-75C2CB1BA2E4}"/>
    <hyperlink ref="B16" r:id="rId5" display="https://www.connecticut-demographics.com/litchfield-county-demographics" xr:uid="{10AC05AB-640C-FB45-B4FA-8A42320A54AB}"/>
    <hyperlink ref="B17" r:id="rId6" display="https://www.connecticut-demographics.com/middlesex-county-demographics" xr:uid="{DCA46196-2EEC-AA42-A388-9157914AEC9B}"/>
    <hyperlink ref="B18" r:id="rId7" display="https://www.connecticut-demographics.com/tolland-county-demographics" xr:uid="{97E6AD23-606A-E849-A525-112D1E32BE96}"/>
    <hyperlink ref="B19" r:id="rId8" display="https://www.connecticut-demographics.com/windham-county-demographics" xr:uid="{DA8030EF-FFC0-474A-8897-57C027075461}"/>
  </hyperlinks>
  <pageMargins left="0.7" right="0.7" top="0.75" bottom="0.75" header="0.3" footer="0.3"/>
  <tableParts count="3">
    <tablePart r:id="rId9"/>
    <tablePart r:id="rId10"/>
    <tablePart r:id="rId1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076E-813F-584E-B7B0-539EDEDAF4FA}">
  <dimension ref="A1:S321"/>
  <sheetViews>
    <sheetView topLeftCell="C1" workbookViewId="0">
      <selection activeCell="R2" sqref="R2:R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8" max="8" width="12.1640625" customWidth="1"/>
    <col min="9" max="9" width="17.33203125" customWidth="1"/>
    <col min="10" max="10" width="17.33203125" style="1" customWidth="1"/>
    <col min="11" max="11" width="14.5" customWidth="1"/>
    <col min="12" max="12" width="18.33203125" customWidth="1"/>
    <col min="13" max="13" width="18.33203125" style="1" customWidth="1"/>
    <col min="14" max="14" width="15.5" customWidth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t="s">
        <v>68</v>
      </c>
      <c r="H1" s="15" t="s">
        <v>165</v>
      </c>
      <c r="I1" s="15" t="s">
        <v>168</v>
      </c>
      <c r="J1" s="15" t="s">
        <v>1677</v>
      </c>
      <c r="K1" s="15" t="s">
        <v>169</v>
      </c>
      <c r="L1" s="15" t="s">
        <v>166</v>
      </c>
      <c r="M1" s="15" t="s">
        <v>1687</v>
      </c>
      <c r="N1" s="15" t="s">
        <v>167</v>
      </c>
      <c r="O1" t="s">
        <v>62</v>
      </c>
      <c r="R1" t="s">
        <v>267</v>
      </c>
      <c r="S1" t="s">
        <v>328</v>
      </c>
    </row>
    <row r="2" spans="1:19" ht="20">
      <c r="A2" s="11" t="s">
        <v>69</v>
      </c>
      <c r="B2" s="12" t="s">
        <v>1211</v>
      </c>
      <c r="C2" s="11">
        <v>2019</v>
      </c>
      <c r="D2" s="11" t="s">
        <v>295</v>
      </c>
      <c r="E2" s="11">
        <v>5.0999999999999996</v>
      </c>
      <c r="F2" s="29">
        <f t="shared" ref="F2:F33" si="0">(E2-MIN(E:E))/(MAX(E:E)-MIN(E:E))</f>
        <v>0.1973094170403587</v>
      </c>
      <c r="H2" s="16" t="s">
        <v>1305</v>
      </c>
      <c r="I2" s="17">
        <v>1784</v>
      </c>
      <c r="J2" s="80">
        <f>Table17[[#This Row],[BIDEN VOTES]]/C163</f>
        <v>9.680920338615151E-2</v>
      </c>
      <c r="K2" s="18">
        <v>0.21299999999999999</v>
      </c>
      <c r="L2" s="17">
        <v>6570</v>
      </c>
      <c r="M2" s="80">
        <f>Table17[[#This Row],[TRUMP VOTES]]/C163</f>
        <v>0.35652268287388755</v>
      </c>
      <c r="N2" s="18">
        <v>0.78300000000000003</v>
      </c>
      <c r="O2" s="82">
        <f>1-(Table17[[#This Row],[NbP]]+Table17[[#This Row],[NbP2]])</f>
        <v>0.54666811373996094</v>
      </c>
      <c r="Q2" t="s">
        <v>326</v>
      </c>
      <c r="R2" s="81">
        <f>CORREL(F:F,J:J)</f>
        <v>-0.25146595309186304</v>
      </c>
      <c r="S2">
        <v>0.1</v>
      </c>
    </row>
    <row r="3" spans="1:19" ht="20">
      <c r="A3" s="13" t="s">
        <v>69</v>
      </c>
      <c r="B3" s="14" t="s">
        <v>1212</v>
      </c>
      <c r="C3" s="13">
        <v>2019</v>
      </c>
      <c r="D3" s="13" t="s">
        <v>295</v>
      </c>
      <c r="E3" s="13">
        <v>12.2</v>
      </c>
      <c r="F3" s="29">
        <f t="shared" si="0"/>
        <v>0.51569506726457393</v>
      </c>
      <c r="H3" s="16" t="s">
        <v>1306</v>
      </c>
      <c r="I3" s="19">
        <v>825</v>
      </c>
      <c r="J3" s="80">
        <f>Table17[[#This Row],[BIDEN VOTES]]/C164</f>
        <v>9.9266032968355192E-2</v>
      </c>
      <c r="K3" s="18">
        <v>0.26100000000000001</v>
      </c>
      <c r="L3" s="17">
        <v>2300</v>
      </c>
      <c r="M3" s="80">
        <f>Table17[[#This Row],[TRUMP VOTES]]/C164</f>
        <v>0.27674166766935387</v>
      </c>
      <c r="N3" s="18">
        <v>0.72899999999999998</v>
      </c>
      <c r="O3" s="82">
        <f>1-(Table17[[#This Row],[NbP]]+Table17[[#This Row],[NbP2]])</f>
        <v>0.62399229936229095</v>
      </c>
      <c r="Q3" t="s">
        <v>325</v>
      </c>
      <c r="R3" s="37">
        <f>CORREL(F:F,M:M)</f>
        <v>0.1137938746893951</v>
      </c>
      <c r="S3">
        <v>0.1</v>
      </c>
    </row>
    <row r="4" spans="1:19" ht="20">
      <c r="A4" s="11" t="s">
        <v>69</v>
      </c>
      <c r="B4" s="12" t="s">
        <v>1213</v>
      </c>
      <c r="C4" s="11">
        <v>2019</v>
      </c>
      <c r="D4" s="11" t="s">
        <v>295</v>
      </c>
      <c r="E4" s="11">
        <v>5.7</v>
      </c>
      <c r="F4" s="29">
        <f t="shared" si="0"/>
        <v>0.22421524663677128</v>
      </c>
      <c r="H4" s="16" t="s">
        <v>1307</v>
      </c>
      <c r="I4" s="19">
        <v>625</v>
      </c>
      <c r="J4" s="80">
        <f>Table17[[#This Row],[BIDEN VOTES]]/C165</f>
        <v>5.6104129263913824E-2</v>
      </c>
      <c r="K4" s="18">
        <v>0.13400000000000001</v>
      </c>
      <c r="L4" s="17">
        <v>4017</v>
      </c>
      <c r="M4" s="80">
        <f>Table17[[#This Row],[TRUMP VOTES]]/C165</f>
        <v>0.36059245960502695</v>
      </c>
      <c r="N4" s="18">
        <v>0.86099999999999999</v>
      </c>
      <c r="O4" s="82">
        <f>1-(Table17[[#This Row],[NbP]]+Table17[[#This Row],[NbP2]])</f>
        <v>0.58330341113105921</v>
      </c>
      <c r="Q4" t="s">
        <v>822</v>
      </c>
      <c r="R4" s="37">
        <f>CORREL(F:F,O:O)</f>
        <v>0.11024069985437766</v>
      </c>
      <c r="S4">
        <v>0.1</v>
      </c>
    </row>
    <row r="5" spans="1:19" ht="20">
      <c r="A5" s="13" t="s">
        <v>69</v>
      </c>
      <c r="B5" s="14" t="s">
        <v>323</v>
      </c>
      <c r="C5" s="13">
        <v>2019</v>
      </c>
      <c r="D5" s="13" t="s">
        <v>295</v>
      </c>
      <c r="E5" s="13"/>
      <c r="F5" s="29">
        <f t="shared" si="0"/>
        <v>-3.1390134529147982E-2</v>
      </c>
      <c r="H5" s="16" t="s">
        <v>268</v>
      </c>
      <c r="I5" s="19">
        <v>652</v>
      </c>
      <c r="J5" s="80">
        <f>Table17[[#This Row],[BIDEN VOTES]]/C166</f>
        <v>0.21100323624595468</v>
      </c>
      <c r="K5" s="18">
        <v>0.41899999999999998</v>
      </c>
      <c r="L5" s="19">
        <v>897</v>
      </c>
      <c r="M5" s="80">
        <f>Table17[[#This Row],[TRUMP VOTES]]/C166</f>
        <v>0.29029126213592232</v>
      </c>
      <c r="N5" s="18">
        <v>0.57699999999999996</v>
      </c>
      <c r="O5" s="82">
        <f>1-(Table17[[#This Row],[NbP]]+Table17[[#This Row],[NbP2]])</f>
        <v>0.49870550161812299</v>
      </c>
    </row>
    <row r="6" spans="1:19" ht="20">
      <c r="A6" s="11" t="s">
        <v>69</v>
      </c>
      <c r="B6" s="12" t="s">
        <v>890</v>
      </c>
      <c r="C6" s="11">
        <v>2019</v>
      </c>
      <c r="D6" s="11" t="s">
        <v>295</v>
      </c>
      <c r="E6" s="11">
        <v>9.5</v>
      </c>
      <c r="F6" s="29">
        <f t="shared" si="0"/>
        <v>0.39461883408071752</v>
      </c>
      <c r="H6" s="16" t="s">
        <v>923</v>
      </c>
      <c r="I6" s="17">
        <v>9140</v>
      </c>
      <c r="J6" s="80">
        <f>Table17[[#This Row],[BIDEN VOTES]]/C167</f>
        <v>0.20278665246716365</v>
      </c>
      <c r="K6" s="18">
        <v>0.501</v>
      </c>
      <c r="L6" s="17">
        <v>8903</v>
      </c>
      <c r="M6" s="80">
        <f>Table17[[#This Row],[TRUMP VOTES]]/C167</f>
        <v>0.19752839900603478</v>
      </c>
      <c r="N6" s="18">
        <v>0.48799999999999999</v>
      </c>
      <c r="O6" s="82">
        <f>1-(Table17[[#This Row],[NbP]]+Table17[[#This Row],[NbP2]])</f>
        <v>0.59968494852680154</v>
      </c>
    </row>
    <row r="7" spans="1:19" ht="20">
      <c r="A7" s="13" t="s">
        <v>69</v>
      </c>
      <c r="B7" s="14" t="s">
        <v>1214</v>
      </c>
      <c r="C7" s="13">
        <v>2019</v>
      </c>
      <c r="D7" s="13" t="s">
        <v>295</v>
      </c>
      <c r="E7" s="13">
        <v>7.3</v>
      </c>
      <c r="F7" s="29">
        <f t="shared" si="0"/>
        <v>0.29596412556053808</v>
      </c>
      <c r="H7" s="16" t="s">
        <v>1308</v>
      </c>
      <c r="I7" s="19">
        <v>932</v>
      </c>
      <c r="J7" s="80">
        <f>Table17[[#This Row],[BIDEN VOTES]]/C168</f>
        <v>4.9312169312169314E-2</v>
      </c>
      <c r="K7" s="18">
        <v>0.106</v>
      </c>
      <c r="L7" s="17">
        <v>7795</v>
      </c>
      <c r="M7" s="80">
        <f>Table17[[#This Row],[TRUMP VOTES]]/C168</f>
        <v>0.41243386243386243</v>
      </c>
      <c r="N7" s="18">
        <v>0.88600000000000001</v>
      </c>
      <c r="O7" s="82">
        <f>1-(Table17[[#This Row],[NbP]]+Table17[[#This Row],[NbP2]])</f>
        <v>0.53825396825396821</v>
      </c>
    </row>
    <row r="8" spans="1:19" ht="20">
      <c r="A8" s="11" t="s">
        <v>69</v>
      </c>
      <c r="B8" s="12" t="s">
        <v>1215</v>
      </c>
      <c r="C8" s="11">
        <v>2019</v>
      </c>
      <c r="D8" s="11" t="s">
        <v>295</v>
      </c>
      <c r="E8" s="11">
        <v>3.8</v>
      </c>
      <c r="F8" s="29">
        <f t="shared" si="0"/>
        <v>0.13901345291479819</v>
      </c>
      <c r="H8" s="16" t="s">
        <v>1309</v>
      </c>
      <c r="I8" s="17">
        <v>10453</v>
      </c>
      <c r="J8" s="80">
        <f>Table17[[#This Row],[BIDEN VOTES]]/C169</f>
        <v>0.12858267522818412</v>
      </c>
      <c r="K8" s="18">
        <v>0.27600000000000002</v>
      </c>
      <c r="L8" s="17">
        <v>26804</v>
      </c>
      <c r="M8" s="80">
        <f>Table17[[#This Row],[TRUMP VOTES]]/C169</f>
        <v>0.32971683027037668</v>
      </c>
      <c r="N8" s="18">
        <v>0.70699999999999996</v>
      </c>
      <c r="O8" s="82">
        <f>1-(Table17[[#This Row],[NbP]]+Table17[[#This Row],[NbP2]])</f>
        <v>0.5417004945014392</v>
      </c>
    </row>
    <row r="9" spans="1:19" ht="20">
      <c r="A9" s="13" t="s">
        <v>69</v>
      </c>
      <c r="B9" s="14" t="s">
        <v>1216</v>
      </c>
      <c r="C9" s="13">
        <v>2019</v>
      </c>
      <c r="D9" s="13" t="s">
        <v>295</v>
      </c>
      <c r="E9" s="13">
        <v>1.7</v>
      </c>
      <c r="F9" s="29">
        <f t="shared" si="0"/>
        <v>4.4843049327354258E-2</v>
      </c>
      <c r="H9" s="16" t="s">
        <v>1310</v>
      </c>
      <c r="I9" s="17">
        <v>12091</v>
      </c>
      <c r="J9" s="80">
        <f>Table17[[#This Row],[BIDEN VOTES]]/C170</f>
        <v>0.11357744044487864</v>
      </c>
      <c r="K9" s="18">
        <v>0.24</v>
      </c>
      <c r="L9" s="17">
        <v>37672</v>
      </c>
      <c r="M9" s="80">
        <f>Table17[[#This Row],[TRUMP VOTES]]/C170</f>
        <v>0.35387390095438492</v>
      </c>
      <c r="N9" s="18">
        <v>0.747</v>
      </c>
      <c r="O9" s="82">
        <f>1-(Table17[[#This Row],[NbP]]+Table17[[#This Row],[NbP2]])</f>
        <v>0.53254865860073641</v>
      </c>
    </row>
    <row r="10" spans="1:19" ht="20">
      <c r="A10" s="11" t="s">
        <v>69</v>
      </c>
      <c r="B10" s="12" t="s">
        <v>1217</v>
      </c>
      <c r="C10" s="11">
        <v>2019</v>
      </c>
      <c r="D10" s="11" t="s">
        <v>295</v>
      </c>
      <c r="E10" s="11">
        <v>20.5</v>
      </c>
      <c r="F10" s="29">
        <f t="shared" si="0"/>
        <v>0.88789237668161436</v>
      </c>
      <c r="H10" s="16" t="s">
        <v>1311</v>
      </c>
      <c r="I10" s="17">
        <v>2393</v>
      </c>
      <c r="J10" s="80">
        <f>Table17[[#This Row],[BIDEN VOTES]]/C171</f>
        <v>0.14168985730357037</v>
      </c>
      <c r="K10" s="18">
        <v>0.36499999999999999</v>
      </c>
      <c r="L10" s="17">
        <v>4111</v>
      </c>
      <c r="M10" s="80">
        <f>Table17[[#This Row],[TRUMP VOTES]]/C171</f>
        <v>0.24341287228373498</v>
      </c>
      <c r="N10" s="18">
        <v>0.626</v>
      </c>
      <c r="O10" s="82">
        <f>1-(Table17[[#This Row],[NbP]]+Table17[[#This Row],[NbP2]])</f>
        <v>0.61489727041269471</v>
      </c>
    </row>
    <row r="11" spans="1:19" ht="20">
      <c r="A11" s="13" t="s">
        <v>69</v>
      </c>
      <c r="B11" s="14" t="s">
        <v>1218</v>
      </c>
      <c r="C11" s="13">
        <v>2019</v>
      </c>
      <c r="D11" s="13" t="s">
        <v>295</v>
      </c>
      <c r="E11" s="13">
        <v>11.4</v>
      </c>
      <c r="F11" s="29">
        <f t="shared" si="0"/>
        <v>0.47982062780269064</v>
      </c>
      <c r="H11" s="16" t="s">
        <v>1312</v>
      </c>
      <c r="I11" s="17">
        <v>1269</v>
      </c>
      <c r="J11" s="80">
        <f>Table17[[#This Row],[BIDEN VOTES]]/C172</f>
        <v>6.607310215557638E-2</v>
      </c>
      <c r="K11" s="18">
        <v>0.16400000000000001</v>
      </c>
      <c r="L11" s="17">
        <v>6419</v>
      </c>
      <c r="M11" s="80">
        <f>Table17[[#This Row],[TRUMP VOTES]]/C172</f>
        <v>0.33421847339373112</v>
      </c>
      <c r="N11" s="18">
        <v>0.82899999999999996</v>
      </c>
      <c r="O11" s="82">
        <f>1-(Table17[[#This Row],[NbP]]+Table17[[#This Row],[NbP2]])</f>
        <v>0.5997084244506925</v>
      </c>
    </row>
    <row r="12" spans="1:19" ht="20">
      <c r="A12" s="11" t="s">
        <v>69</v>
      </c>
      <c r="B12" s="12" t="s">
        <v>891</v>
      </c>
      <c r="C12" s="11">
        <v>2019</v>
      </c>
      <c r="D12" s="11" t="s">
        <v>295</v>
      </c>
      <c r="E12" s="11">
        <v>5.9</v>
      </c>
      <c r="F12" s="29">
        <f t="shared" si="0"/>
        <v>0.23318385650224216</v>
      </c>
      <c r="H12" s="16" t="s">
        <v>924</v>
      </c>
      <c r="I12" s="17">
        <v>43408</v>
      </c>
      <c r="J12" s="80">
        <f>Table17[[#This Row],[BIDEN VOTES]]/C173</f>
        <v>0.28366421392443114</v>
      </c>
      <c r="K12" s="18">
        <v>0.61399999999999999</v>
      </c>
      <c r="L12" s="17">
        <v>26559</v>
      </c>
      <c r="M12" s="80">
        <f>Table17[[#This Row],[TRUMP VOTES]]/C173</f>
        <v>0.17355874165174545</v>
      </c>
      <c r="N12" s="18">
        <v>0.376</v>
      </c>
      <c r="O12" s="82">
        <f>1-(Table17[[#This Row],[NbP]]+Table17[[#This Row],[NbP2]])</f>
        <v>0.54277704442382335</v>
      </c>
    </row>
    <row r="13" spans="1:19" ht="20">
      <c r="A13" s="13" t="s">
        <v>69</v>
      </c>
      <c r="B13" s="14" t="s">
        <v>1219</v>
      </c>
      <c r="C13" s="13">
        <v>2019</v>
      </c>
      <c r="D13" s="13" t="s">
        <v>295</v>
      </c>
      <c r="E13" s="13"/>
      <c r="F13" s="29">
        <f t="shared" si="0"/>
        <v>-3.1390134529147982E-2</v>
      </c>
      <c r="H13" s="16" t="s">
        <v>1313</v>
      </c>
      <c r="I13" s="17">
        <v>1312</v>
      </c>
      <c r="J13" s="80">
        <f>Table17[[#This Row],[BIDEN VOTES]]/C174</f>
        <v>0.10194250194250194</v>
      </c>
      <c r="K13" s="18">
        <v>0.23</v>
      </c>
      <c r="L13" s="17">
        <v>4329</v>
      </c>
      <c r="M13" s="80">
        <f>Table17[[#This Row],[TRUMP VOTES]]/C174</f>
        <v>0.33636363636363636</v>
      </c>
      <c r="N13" s="18">
        <v>0.75800000000000001</v>
      </c>
      <c r="O13" s="82">
        <f>1-(Table17[[#This Row],[NbP]]+Table17[[#This Row],[NbP2]])</f>
        <v>0.56169386169386171</v>
      </c>
    </row>
    <row r="14" spans="1:19" ht="20">
      <c r="A14" s="11" t="s">
        <v>69</v>
      </c>
      <c r="B14" s="12" t="s">
        <v>1220</v>
      </c>
      <c r="C14" s="11">
        <v>2019</v>
      </c>
      <c r="D14" s="11" t="s">
        <v>295</v>
      </c>
      <c r="E14" s="11">
        <v>7.4</v>
      </c>
      <c r="F14" s="29">
        <f t="shared" si="0"/>
        <v>0.30044843049327352</v>
      </c>
      <c r="H14" s="16" t="s">
        <v>1314</v>
      </c>
      <c r="I14" s="19">
        <v>700</v>
      </c>
      <c r="J14" s="80">
        <f>Table17[[#This Row],[BIDEN VOTES]]/C175</f>
        <v>3.6990065525258929E-2</v>
      </c>
      <c r="K14" s="18">
        <v>0.09</v>
      </c>
      <c r="L14" s="17">
        <v>6993</v>
      </c>
      <c r="M14" s="80">
        <f>Table17[[#This Row],[TRUMP VOTES]]/C175</f>
        <v>0.3695307545973367</v>
      </c>
      <c r="N14" s="18">
        <v>0.90200000000000002</v>
      </c>
      <c r="O14" s="82">
        <f>1-(Table17[[#This Row],[NbP]]+Table17[[#This Row],[NbP2]])</f>
        <v>0.59347917987740439</v>
      </c>
    </row>
    <row r="15" spans="1:19" ht="20">
      <c r="A15" s="13" t="s">
        <v>69</v>
      </c>
      <c r="B15" s="14" t="s">
        <v>581</v>
      </c>
      <c r="C15" s="13">
        <v>2019</v>
      </c>
      <c r="D15" s="13" t="s">
        <v>295</v>
      </c>
      <c r="E15" s="13">
        <v>15.9</v>
      </c>
      <c r="F15" s="29">
        <f t="shared" si="0"/>
        <v>0.68161434977578483</v>
      </c>
      <c r="H15" s="16" t="s">
        <v>353</v>
      </c>
      <c r="I15" s="17">
        <v>2791</v>
      </c>
      <c r="J15" s="80">
        <f>Table17[[#This Row],[BIDEN VOTES]]/C176</f>
        <v>0.17950861847182917</v>
      </c>
      <c r="K15" s="18">
        <v>0.39300000000000002</v>
      </c>
      <c r="L15" s="17">
        <v>4261</v>
      </c>
      <c r="M15" s="80">
        <f>Table17[[#This Row],[TRUMP VOTES]]/C176</f>
        <v>0.2740545407769488</v>
      </c>
      <c r="N15" s="18">
        <v>0.6</v>
      </c>
      <c r="O15" s="82">
        <f>1-(Table17[[#This Row],[NbP]]+Table17[[#This Row],[NbP2]])</f>
        <v>0.54643684075122201</v>
      </c>
    </row>
    <row r="16" spans="1:19" ht="20">
      <c r="A16" s="11" t="s">
        <v>69</v>
      </c>
      <c r="B16" s="12" t="s">
        <v>1221</v>
      </c>
      <c r="C16" s="11">
        <v>2019</v>
      </c>
      <c r="D16" s="11" t="s">
        <v>295</v>
      </c>
      <c r="E16" s="11">
        <v>4.2</v>
      </c>
      <c r="F16" s="29">
        <f t="shared" si="0"/>
        <v>0.15695067264573989</v>
      </c>
      <c r="H16" s="16" t="s">
        <v>1315</v>
      </c>
      <c r="I16" s="17">
        <v>6738</v>
      </c>
      <c r="J16" s="80">
        <f>Table17[[#This Row],[BIDEN VOTES]]/C177</f>
        <v>0.17583048459069439</v>
      </c>
      <c r="K16" s="18">
        <v>0.316</v>
      </c>
      <c r="L16" s="17">
        <v>14240</v>
      </c>
      <c r="M16" s="80">
        <f>Table17[[#This Row],[TRUMP VOTES]]/C177</f>
        <v>0.3715978184285379</v>
      </c>
      <c r="N16" s="18">
        <v>0.66700000000000004</v>
      </c>
      <c r="O16" s="82">
        <f>1-(Table17[[#This Row],[NbP]]+Table17[[#This Row],[NbP2]])</f>
        <v>0.45257169698076771</v>
      </c>
    </row>
    <row r="17" spans="1:15" ht="20">
      <c r="A17" s="13" t="s">
        <v>69</v>
      </c>
      <c r="B17" s="14" t="s">
        <v>1222</v>
      </c>
      <c r="C17" s="13">
        <v>2019</v>
      </c>
      <c r="D17" s="13" t="s">
        <v>295</v>
      </c>
      <c r="E17" s="13">
        <v>2.6</v>
      </c>
      <c r="F17" s="29">
        <f t="shared" si="0"/>
        <v>8.5201793721973104E-2</v>
      </c>
      <c r="H17" s="16" t="s">
        <v>1316</v>
      </c>
      <c r="I17" s="17">
        <v>11248</v>
      </c>
      <c r="J17" s="80">
        <f>Table17[[#This Row],[BIDEN VOTES]]/C178</f>
        <v>0.14472651475186249</v>
      </c>
      <c r="K17" s="18">
        <v>0.374</v>
      </c>
      <c r="L17" s="17">
        <v>18387</v>
      </c>
      <c r="M17" s="80">
        <f>Table17[[#This Row],[TRUMP VOTES]]/C178</f>
        <v>0.23658307492376382</v>
      </c>
      <c r="N17" s="18">
        <v>0.61099999999999999</v>
      </c>
      <c r="O17" s="82">
        <f>1-(Table17[[#This Row],[NbP]]+Table17[[#This Row],[NbP2]])</f>
        <v>0.61869041032437366</v>
      </c>
    </row>
    <row r="18" spans="1:15" ht="20">
      <c r="A18" s="11" t="s">
        <v>69</v>
      </c>
      <c r="B18" s="12" t="s">
        <v>1223</v>
      </c>
      <c r="C18" s="11">
        <v>2019</v>
      </c>
      <c r="D18" s="11" t="s">
        <v>295</v>
      </c>
      <c r="E18" s="11">
        <v>1.7</v>
      </c>
      <c r="F18" s="29">
        <f t="shared" si="0"/>
        <v>4.4843049327354258E-2</v>
      </c>
      <c r="H18" s="16" t="s">
        <v>1317</v>
      </c>
      <c r="I18" s="17">
        <v>5208</v>
      </c>
      <c r="J18" s="80">
        <f>Table17[[#This Row],[BIDEN VOTES]]/C179</f>
        <v>0.23077945672885186</v>
      </c>
      <c r="K18" s="18">
        <v>0.48799999999999999</v>
      </c>
      <c r="L18" s="17">
        <v>5400</v>
      </c>
      <c r="M18" s="80">
        <f>Table17[[#This Row],[TRUMP VOTES]]/C179</f>
        <v>0.23928745513360217</v>
      </c>
      <c r="N18" s="18">
        <v>0.505</v>
      </c>
      <c r="O18" s="82">
        <f>1-(Table17[[#This Row],[NbP]]+Table17[[#This Row],[NbP2]])</f>
        <v>0.52993308813754592</v>
      </c>
    </row>
    <row r="19" spans="1:15" ht="20">
      <c r="A19" s="13" t="s">
        <v>69</v>
      </c>
      <c r="B19" s="14" t="s">
        <v>1224</v>
      </c>
      <c r="C19" s="13">
        <v>2019</v>
      </c>
      <c r="D19" s="13" t="s">
        <v>295</v>
      </c>
      <c r="E19" s="13">
        <v>1.8</v>
      </c>
      <c r="F19" s="29">
        <f t="shared" si="0"/>
        <v>4.932735426008969E-2</v>
      </c>
      <c r="H19" s="16" t="s">
        <v>1318</v>
      </c>
      <c r="I19" s="17">
        <v>3274</v>
      </c>
      <c r="J19" s="80">
        <f>Table17[[#This Row],[BIDEN VOTES]]/C180</f>
        <v>0.13383477087846954</v>
      </c>
      <c r="K19" s="18">
        <v>0.27800000000000002</v>
      </c>
      <c r="L19" s="17">
        <v>8406</v>
      </c>
      <c r="M19" s="80">
        <f>Table17[[#This Row],[TRUMP VOTES]]/C180</f>
        <v>0.34362097862077423</v>
      </c>
      <c r="N19" s="18">
        <v>0.71399999999999997</v>
      </c>
      <c r="O19" s="82">
        <f>1-(Table17[[#This Row],[NbP]]+Table17[[#This Row],[NbP2]])</f>
        <v>0.52254425050075626</v>
      </c>
    </row>
    <row r="20" spans="1:15" ht="20">
      <c r="A20" s="11" t="s">
        <v>69</v>
      </c>
      <c r="B20" s="12" t="s">
        <v>586</v>
      </c>
      <c r="C20" s="11">
        <v>2019</v>
      </c>
      <c r="D20" s="11" t="s">
        <v>295</v>
      </c>
      <c r="E20" s="11"/>
      <c r="F20" s="29">
        <f t="shared" si="0"/>
        <v>-3.1390134529147982E-2</v>
      </c>
      <c r="H20" s="16" t="s">
        <v>358</v>
      </c>
      <c r="I20" s="17">
        <v>1263</v>
      </c>
      <c r="J20" s="80">
        <f>Table17[[#This Row],[BIDEN VOTES]]/C181</f>
        <v>0.20044437390890335</v>
      </c>
      <c r="K20" s="18">
        <v>0.57499999999999996</v>
      </c>
      <c r="L20" s="19">
        <v>923</v>
      </c>
      <c r="M20" s="80">
        <f>Table17[[#This Row],[TRUMP VOTES]]/C181</f>
        <v>0.14648468497063957</v>
      </c>
      <c r="N20" s="18">
        <v>0.42</v>
      </c>
      <c r="O20" s="82">
        <f>1-(Table17[[#This Row],[NbP]]+Table17[[#This Row],[NbP2]])</f>
        <v>0.65307094112045705</v>
      </c>
    </row>
    <row r="21" spans="1:15" ht="20">
      <c r="A21" s="13" t="s">
        <v>69</v>
      </c>
      <c r="B21" s="14" t="s">
        <v>806</v>
      </c>
      <c r="C21" s="13">
        <v>2019</v>
      </c>
      <c r="D21" s="13" t="s">
        <v>295</v>
      </c>
      <c r="E21" s="13">
        <v>3.9</v>
      </c>
      <c r="F21" s="29">
        <f t="shared" si="0"/>
        <v>0.14349775784753363</v>
      </c>
      <c r="H21" s="16" t="s">
        <v>788</v>
      </c>
      <c r="I21" s="17">
        <v>7967</v>
      </c>
      <c r="J21" s="80">
        <f>Table17[[#This Row],[BIDEN VOTES]]/C182</f>
        <v>0.147646404744255</v>
      </c>
      <c r="K21" s="18">
        <v>0.33600000000000002</v>
      </c>
      <c r="L21" s="17">
        <v>15249</v>
      </c>
      <c r="M21" s="80">
        <f>Table17[[#This Row],[TRUMP VOTES]]/C182</f>
        <v>0.28259822090437359</v>
      </c>
      <c r="N21" s="18">
        <v>0.64400000000000002</v>
      </c>
      <c r="O21" s="82">
        <f>1-(Table17[[#This Row],[NbP]]+Table17[[#This Row],[NbP2]])</f>
        <v>0.56975537435137147</v>
      </c>
    </row>
    <row r="22" spans="1:15" ht="20">
      <c r="A22" s="11" t="s">
        <v>69</v>
      </c>
      <c r="B22" s="12" t="s">
        <v>1225</v>
      </c>
      <c r="C22" s="11">
        <v>2019</v>
      </c>
      <c r="D22" s="11" t="s">
        <v>295</v>
      </c>
      <c r="E22" s="11">
        <v>6</v>
      </c>
      <c r="F22" s="29">
        <f t="shared" si="0"/>
        <v>0.23766816143497757</v>
      </c>
      <c r="H22" s="16" t="s">
        <v>1319</v>
      </c>
      <c r="I22" s="17">
        <v>1269</v>
      </c>
      <c r="J22" s="80">
        <f>Table17[[#This Row],[BIDEN VOTES]]/C183</f>
        <v>0.11713125346132545</v>
      </c>
      <c r="K22" s="18">
        <v>0.28599999999999998</v>
      </c>
      <c r="L22" s="17">
        <v>3133</v>
      </c>
      <c r="M22" s="80">
        <f>Table17[[#This Row],[TRUMP VOTES]]/C183</f>
        <v>0.28918220417205093</v>
      </c>
      <c r="N22" s="18">
        <v>0.70699999999999996</v>
      </c>
      <c r="O22" s="82">
        <f>1-(Table17[[#This Row],[NbP]]+Table17[[#This Row],[NbP2]])</f>
        <v>0.59368654236662355</v>
      </c>
    </row>
    <row r="23" spans="1:15" ht="20">
      <c r="A23" s="13" t="s">
        <v>69</v>
      </c>
      <c r="B23" s="14" t="s">
        <v>79</v>
      </c>
      <c r="C23" s="13">
        <v>2019</v>
      </c>
      <c r="D23" s="13" t="s">
        <v>295</v>
      </c>
      <c r="E23" s="13">
        <v>5.9</v>
      </c>
      <c r="F23" s="29">
        <f t="shared" si="0"/>
        <v>0.23318385650224216</v>
      </c>
      <c r="H23" s="16" t="s">
        <v>178</v>
      </c>
      <c r="I23" s="17">
        <v>16236</v>
      </c>
      <c r="J23" s="80">
        <f>Table17[[#This Row],[BIDEN VOTES]]/C184</f>
        <v>0.13679102214134062</v>
      </c>
      <c r="K23" s="18">
        <v>0.29799999999999999</v>
      </c>
      <c r="L23" s="17">
        <v>37476</v>
      </c>
      <c r="M23" s="80">
        <f>Table17[[#This Row],[TRUMP VOTES]]/C184</f>
        <v>0.31574158325750684</v>
      </c>
      <c r="N23" s="18">
        <v>0.68799999999999994</v>
      </c>
      <c r="O23" s="82">
        <f>1-(Table17[[#This Row],[NbP]]+Table17[[#This Row],[NbP2]])</f>
        <v>0.54746739460115257</v>
      </c>
    </row>
    <row r="24" spans="1:15" ht="20">
      <c r="A24" s="11" t="s">
        <v>69</v>
      </c>
      <c r="B24" s="12" t="s">
        <v>1226</v>
      </c>
      <c r="C24" s="11">
        <v>2019</v>
      </c>
      <c r="D24" s="11" t="s">
        <v>295</v>
      </c>
      <c r="E24" s="11">
        <v>6.9</v>
      </c>
      <c r="F24" s="29">
        <f t="shared" si="0"/>
        <v>0.27802690582959644</v>
      </c>
      <c r="H24" s="16" t="s">
        <v>1320</v>
      </c>
      <c r="I24" s="17">
        <v>6932</v>
      </c>
      <c r="J24" s="80">
        <f>Table17[[#This Row],[BIDEN VOTES]]/C185</f>
        <v>0.10318393593426713</v>
      </c>
      <c r="K24" s="18">
        <v>0.21299999999999999</v>
      </c>
      <c r="L24" s="17">
        <v>25167</v>
      </c>
      <c r="M24" s="80">
        <f>Table17[[#This Row],[TRUMP VOTES]]/C185</f>
        <v>0.37461484645956444</v>
      </c>
      <c r="N24" s="18">
        <v>0.77200000000000002</v>
      </c>
      <c r="O24" s="82">
        <f>1-(Table17[[#This Row],[NbP]]+Table17[[#This Row],[NbP2]])</f>
        <v>0.52220121760616844</v>
      </c>
    </row>
    <row r="25" spans="1:15" ht="20">
      <c r="A25" s="13" t="s">
        <v>69</v>
      </c>
      <c r="B25" s="14" t="s">
        <v>1227</v>
      </c>
      <c r="C25" s="13">
        <v>2019</v>
      </c>
      <c r="D25" s="13" t="s">
        <v>295</v>
      </c>
      <c r="E25" s="13">
        <v>17.7</v>
      </c>
      <c r="F25" s="29">
        <f t="shared" si="0"/>
        <v>0.7623318385650224</v>
      </c>
      <c r="H25" s="16" t="s">
        <v>1321</v>
      </c>
      <c r="I25" s="17">
        <v>1105</v>
      </c>
      <c r="J25" s="80">
        <f>Table17[[#This Row],[BIDEN VOTES]]/C186</f>
        <v>8.4791282995702891E-2</v>
      </c>
      <c r="K25" s="18">
        <v>0.24199999999999999</v>
      </c>
      <c r="L25" s="17">
        <v>3419</v>
      </c>
      <c r="M25" s="80">
        <f>Table17[[#This Row],[TRUMP VOTES]]/C186</f>
        <v>0.26235420503376305</v>
      </c>
      <c r="N25" s="18">
        <v>0.748</v>
      </c>
      <c r="O25" s="82">
        <f>1-(Table17[[#This Row],[NbP]]+Table17[[#This Row],[NbP2]])</f>
        <v>0.65285451197053401</v>
      </c>
    </row>
    <row r="26" spans="1:15" ht="20">
      <c r="A26" s="11" t="s">
        <v>69</v>
      </c>
      <c r="B26" s="12" t="s">
        <v>1228</v>
      </c>
      <c r="C26" s="11">
        <v>2019</v>
      </c>
      <c r="D26" s="11" t="s">
        <v>295</v>
      </c>
      <c r="E26" s="11">
        <v>3.9</v>
      </c>
      <c r="F26" s="29">
        <f t="shared" si="0"/>
        <v>0.14349775784753363</v>
      </c>
      <c r="H26" s="16" t="s">
        <v>1322</v>
      </c>
      <c r="I26" s="17">
        <v>78247</v>
      </c>
      <c r="J26" s="80">
        <f>Table17[[#This Row],[BIDEN VOTES]]/C187</f>
        <v>0.27014420902540659</v>
      </c>
      <c r="K26" s="18">
        <v>0.58699999999999997</v>
      </c>
      <c r="L26" s="17">
        <v>53232</v>
      </c>
      <c r="M26" s="80">
        <f>Table17[[#This Row],[TRUMP VOTES]]/C187</f>
        <v>0.18378105914399842</v>
      </c>
      <c r="N26" s="18">
        <v>0.39900000000000002</v>
      </c>
      <c r="O26" s="82">
        <f>1-(Table17[[#This Row],[NbP]]+Table17[[#This Row],[NbP2]])</f>
        <v>0.54607473183059496</v>
      </c>
    </row>
    <row r="27" spans="1:15" ht="20">
      <c r="A27" s="13" t="s">
        <v>69</v>
      </c>
      <c r="B27" s="14" t="s">
        <v>1229</v>
      </c>
      <c r="C27" s="13">
        <v>2019</v>
      </c>
      <c r="D27" s="13" t="s">
        <v>295</v>
      </c>
      <c r="E27" s="13"/>
      <c r="F27" s="29">
        <f t="shared" si="0"/>
        <v>-3.1390134529147982E-2</v>
      </c>
      <c r="H27" s="16" t="s">
        <v>1323</v>
      </c>
      <c r="I27" s="19">
        <v>667</v>
      </c>
      <c r="J27" s="80">
        <f>Table17[[#This Row],[BIDEN VOTES]]/C188</f>
        <v>6.3705826170009555E-2</v>
      </c>
      <c r="K27" s="18">
        <v>0.42199999999999999</v>
      </c>
      <c r="L27" s="19">
        <v>880</v>
      </c>
      <c r="M27" s="80">
        <f>Table17[[#This Row],[TRUMP VOTES]]/C188</f>
        <v>8.4049665711556823E-2</v>
      </c>
      <c r="N27" s="18">
        <v>0.55600000000000005</v>
      </c>
      <c r="O27" s="82">
        <f>1-(Table17[[#This Row],[NbP]]+Table17[[#This Row],[NbP2]])</f>
        <v>0.85224450811843355</v>
      </c>
    </row>
    <row r="28" spans="1:15" ht="20">
      <c r="A28" s="11" t="s">
        <v>69</v>
      </c>
      <c r="B28" s="12" t="s">
        <v>1230</v>
      </c>
      <c r="C28" s="11">
        <v>2019</v>
      </c>
      <c r="D28" s="11" t="s">
        <v>295</v>
      </c>
      <c r="E28" s="11">
        <v>12.8</v>
      </c>
      <c r="F28" s="29">
        <f t="shared" si="0"/>
        <v>0.54260089686098656</v>
      </c>
      <c r="H28" s="16" t="s">
        <v>1324</v>
      </c>
      <c r="I28" s="17">
        <v>1854</v>
      </c>
      <c r="J28" s="80">
        <f>Table17[[#This Row],[BIDEN VOTES]]/C189</f>
        <v>7.4679771207604925E-2</v>
      </c>
      <c r="K28" s="18">
        <v>0.184</v>
      </c>
      <c r="L28" s="17">
        <v>8064</v>
      </c>
      <c r="M28" s="80">
        <f>Table17[[#This Row],[TRUMP VOTES]]/C189</f>
        <v>0.32482075243696124</v>
      </c>
      <c r="N28" s="18">
        <v>0.80200000000000005</v>
      </c>
      <c r="O28" s="82">
        <f>1-(Table17[[#This Row],[NbP]]+Table17[[#This Row],[NbP2]])</f>
        <v>0.60049947635543388</v>
      </c>
    </row>
    <row r="29" spans="1:15" ht="20">
      <c r="A29" s="13" t="s">
        <v>69</v>
      </c>
      <c r="B29" s="14" t="s">
        <v>594</v>
      </c>
      <c r="C29" s="13">
        <v>2019</v>
      </c>
      <c r="D29" s="13" t="s">
        <v>295</v>
      </c>
      <c r="E29" s="13">
        <v>3.6</v>
      </c>
      <c r="F29" s="29">
        <f t="shared" si="0"/>
        <v>0.13004484304932737</v>
      </c>
      <c r="H29" s="16" t="s">
        <v>366</v>
      </c>
      <c r="I29" s="17">
        <v>42779</v>
      </c>
      <c r="J29" s="80">
        <f>Table17[[#This Row],[BIDEN VOTES]]/C190</f>
        <v>0.16856726298368666</v>
      </c>
      <c r="K29" s="18">
        <v>0.29499999999999998</v>
      </c>
      <c r="L29" s="17">
        <v>99585</v>
      </c>
      <c r="M29" s="80">
        <f>Table17[[#This Row],[TRUMP VOTES]]/C190</f>
        <v>0.39240680904720626</v>
      </c>
      <c r="N29" s="18">
        <v>0.68799999999999994</v>
      </c>
      <c r="O29" s="82">
        <f>1-(Table17[[#This Row],[NbP]]+Table17[[#This Row],[NbP2]])</f>
        <v>0.43902592796910711</v>
      </c>
    </row>
    <row r="30" spans="1:15" ht="20">
      <c r="A30" s="11" t="s">
        <v>69</v>
      </c>
      <c r="B30" s="12" t="s">
        <v>896</v>
      </c>
      <c r="C30" s="11">
        <v>2019</v>
      </c>
      <c r="D30" s="11" t="s">
        <v>295</v>
      </c>
      <c r="E30" s="11">
        <v>6.2</v>
      </c>
      <c r="F30" s="29">
        <f t="shared" si="0"/>
        <v>0.24663677130044842</v>
      </c>
      <c r="H30" s="16" t="s">
        <v>929</v>
      </c>
      <c r="I30" s="17">
        <v>36055</v>
      </c>
      <c r="J30" s="80">
        <f>Table17[[#This Row],[BIDEN VOTES]]/C191</f>
        <v>0.28400497825949966</v>
      </c>
      <c r="K30" s="18">
        <v>0.70199999999999996</v>
      </c>
      <c r="L30" s="17">
        <v>14450</v>
      </c>
      <c r="M30" s="80">
        <f>Table17[[#This Row],[TRUMP VOTES]]/C191</f>
        <v>0.11382254710441742</v>
      </c>
      <c r="N30" s="18">
        <v>0.28100000000000003</v>
      </c>
      <c r="O30" s="82">
        <f>1-(Table17[[#This Row],[NbP]]+Table17[[#This Row],[NbP2]])</f>
        <v>0.60217247463608292</v>
      </c>
    </row>
    <row r="31" spans="1:15" ht="20">
      <c r="A31" s="13" t="s">
        <v>69</v>
      </c>
      <c r="B31" s="14" t="s">
        <v>84</v>
      </c>
      <c r="C31" s="13">
        <v>2019</v>
      </c>
      <c r="D31" s="13" t="s">
        <v>295</v>
      </c>
      <c r="E31" s="13"/>
      <c r="F31" s="29">
        <f t="shared" si="0"/>
        <v>-3.1390134529147982E-2</v>
      </c>
      <c r="H31" s="16" t="s">
        <v>183</v>
      </c>
      <c r="I31" s="19">
        <v>791</v>
      </c>
      <c r="J31" s="80">
        <f>Table17[[#This Row],[BIDEN VOTES]]/C192</f>
        <v>0.2698737632207438</v>
      </c>
      <c r="K31" s="18">
        <v>0.55100000000000005</v>
      </c>
      <c r="L31" s="19">
        <v>637</v>
      </c>
      <c r="M31" s="80">
        <f>Table17[[#This Row],[TRUMP VOTES]]/C192</f>
        <v>0.21733196861139542</v>
      </c>
      <c r="N31" s="18">
        <v>0.44400000000000001</v>
      </c>
      <c r="O31" s="82">
        <f>1-(Table17[[#This Row],[NbP]]+Table17[[#This Row],[NbP2]])</f>
        <v>0.51279426816786078</v>
      </c>
    </row>
    <row r="32" spans="1:15" ht="20">
      <c r="A32" s="11" t="s">
        <v>69</v>
      </c>
      <c r="B32" s="12" t="s">
        <v>1231</v>
      </c>
      <c r="C32" s="11">
        <v>2019</v>
      </c>
      <c r="D32" s="11" t="s">
        <v>295</v>
      </c>
      <c r="E32" s="11">
        <v>3.3</v>
      </c>
      <c r="F32" s="29">
        <f t="shared" si="0"/>
        <v>0.11659192825112105</v>
      </c>
      <c r="H32" s="16" t="s">
        <v>1325</v>
      </c>
      <c r="I32" s="17">
        <v>95466</v>
      </c>
      <c r="J32" s="80">
        <f>Table17[[#This Row],[BIDEN VOTES]]/C193</f>
        <v>0.33198636806231741</v>
      </c>
      <c r="K32" s="18">
        <v>0.85</v>
      </c>
      <c r="L32" s="17">
        <v>15811</v>
      </c>
      <c r="M32" s="80">
        <f>Table17[[#This Row],[TRUMP VOTES]]/C193</f>
        <v>5.4983307831409096E-2</v>
      </c>
      <c r="N32" s="18">
        <v>0.14099999999999999</v>
      </c>
      <c r="O32" s="82">
        <f>1-(Table17[[#This Row],[NbP]]+Table17[[#This Row],[NbP2]])</f>
        <v>0.61303032410627356</v>
      </c>
    </row>
    <row r="33" spans="1:15" ht="20">
      <c r="A33" s="13" t="s">
        <v>69</v>
      </c>
      <c r="B33" s="14" t="s">
        <v>1232</v>
      </c>
      <c r="C33" s="13">
        <v>2019</v>
      </c>
      <c r="D33" s="13" t="s">
        <v>295</v>
      </c>
      <c r="E33" s="13">
        <v>6.6</v>
      </c>
      <c r="F33" s="29">
        <f t="shared" si="0"/>
        <v>0.26457399103139012</v>
      </c>
      <c r="H33" s="16" t="s">
        <v>1326</v>
      </c>
      <c r="I33" s="19">
        <v>744</v>
      </c>
      <c r="J33" s="80">
        <f>Table17[[#This Row],[BIDEN VOTES]]/C194</f>
        <v>0.11191335740072202</v>
      </c>
      <c r="K33" s="18">
        <v>0.26</v>
      </c>
      <c r="L33" s="17">
        <v>2105</v>
      </c>
      <c r="M33" s="80">
        <f>Table17[[#This Row],[TRUMP VOTES]]/C194</f>
        <v>0.31663658243080628</v>
      </c>
      <c r="N33" s="18">
        <v>0.73599999999999999</v>
      </c>
      <c r="O33" s="82">
        <f>1-(Table17[[#This Row],[NbP]]+Table17[[#This Row],[NbP2]])</f>
        <v>0.57145006016847177</v>
      </c>
    </row>
    <row r="34" spans="1:15" ht="20">
      <c r="A34" s="11" t="s">
        <v>69</v>
      </c>
      <c r="B34" s="12" t="s">
        <v>1233</v>
      </c>
      <c r="C34" s="11">
        <v>2019</v>
      </c>
      <c r="D34" s="11" t="s">
        <v>295</v>
      </c>
      <c r="E34" s="11">
        <v>1.1000000000000001</v>
      </c>
      <c r="F34" s="29">
        <f t="shared" ref="F34:F65" si="1">(E34-MIN(E:E))/(MAX(E:E)-MIN(E:E))</f>
        <v>1.7937219730941711E-2</v>
      </c>
      <c r="H34" s="16" t="s">
        <v>1327</v>
      </c>
      <c r="I34" s="17">
        <v>221847</v>
      </c>
      <c r="J34" s="80">
        <f>Table17[[#This Row],[BIDEN VOTES]]/C195</f>
        <v>0.29319516343687263</v>
      </c>
      <c r="K34" s="18">
        <v>0.56299999999999994</v>
      </c>
      <c r="L34" s="17">
        <v>165436</v>
      </c>
      <c r="M34" s="80">
        <f>Table17[[#This Row],[TRUMP VOTES]]/C195</f>
        <v>0.2186418345000945</v>
      </c>
      <c r="N34" s="18">
        <v>0.42</v>
      </c>
      <c r="O34" s="82">
        <f>1-(Table17[[#This Row],[NbP]]+Table17[[#This Row],[NbP2]])</f>
        <v>0.48816300206303287</v>
      </c>
    </row>
    <row r="35" spans="1:15" ht="20">
      <c r="A35" s="13" t="s">
        <v>69</v>
      </c>
      <c r="B35" s="14" t="s">
        <v>86</v>
      </c>
      <c r="C35" s="13">
        <v>2019</v>
      </c>
      <c r="D35" s="13" t="s">
        <v>295</v>
      </c>
      <c r="E35" s="13">
        <v>16.600000000000001</v>
      </c>
      <c r="F35" s="29">
        <f t="shared" si="1"/>
        <v>0.7130044843049328</v>
      </c>
      <c r="H35" s="16" t="s">
        <v>185</v>
      </c>
      <c r="I35" s="17">
        <v>4511</v>
      </c>
      <c r="J35" s="80">
        <f>Table17[[#This Row],[BIDEN VOTES]]/C196</f>
        <v>0.10473647550499188</v>
      </c>
      <c r="K35" s="18">
        <v>0.29699999999999999</v>
      </c>
      <c r="L35" s="17">
        <v>10578</v>
      </c>
      <c r="M35" s="80">
        <f>Table17[[#This Row],[TRUMP VOTES]]/C196</f>
        <v>0.24560018574413744</v>
      </c>
      <c r="N35" s="18">
        <v>0.69499999999999995</v>
      </c>
      <c r="O35" s="82">
        <f>1-(Table17[[#This Row],[NbP]]+Table17[[#This Row],[NbP2]])</f>
        <v>0.64966333875087068</v>
      </c>
    </row>
    <row r="36" spans="1:15" ht="20">
      <c r="A36" s="11" t="s">
        <v>69</v>
      </c>
      <c r="B36" s="12" t="s">
        <v>1234</v>
      </c>
      <c r="C36" s="11">
        <v>2019</v>
      </c>
      <c r="D36" s="11" t="s">
        <v>295</v>
      </c>
      <c r="E36" s="11">
        <v>4.9000000000000004</v>
      </c>
      <c r="F36" s="29">
        <f t="shared" si="1"/>
        <v>0.18834080717488788</v>
      </c>
      <c r="H36" s="16" t="s">
        <v>1328</v>
      </c>
      <c r="I36" s="17">
        <v>4190</v>
      </c>
      <c r="J36" s="80">
        <f>Table17[[#This Row],[BIDEN VOTES]]/C197</f>
        <v>9.2067677433531087E-2</v>
      </c>
      <c r="K36" s="18">
        <v>0.26</v>
      </c>
      <c r="L36" s="17">
        <v>11777</v>
      </c>
      <c r="M36" s="80">
        <f>Table17[[#This Row],[TRUMP VOTES]]/C197</f>
        <v>0.25877829048560758</v>
      </c>
      <c r="N36" s="18">
        <v>0.73199999999999998</v>
      </c>
      <c r="O36" s="82">
        <f>1-(Table17[[#This Row],[NbP]]+Table17[[#This Row],[NbP2]])</f>
        <v>0.64915403208086131</v>
      </c>
    </row>
    <row r="37" spans="1:15" ht="20">
      <c r="A37" s="13" t="s">
        <v>69</v>
      </c>
      <c r="B37" s="14" t="s">
        <v>320</v>
      </c>
      <c r="C37" s="13">
        <v>2019</v>
      </c>
      <c r="D37" s="13" t="s">
        <v>295</v>
      </c>
      <c r="E37" s="13">
        <v>1</v>
      </c>
      <c r="F37" s="29">
        <f t="shared" si="1"/>
        <v>1.345291479820628E-2</v>
      </c>
      <c r="H37" s="16" t="s">
        <v>271</v>
      </c>
      <c r="I37" s="17">
        <v>29232</v>
      </c>
      <c r="J37" s="80">
        <f>Table17[[#This Row],[BIDEN VOTES]]/C198</f>
        <v>0.18950193508236254</v>
      </c>
      <c r="K37" s="18">
        <v>0.36299999999999999</v>
      </c>
      <c r="L37" s="17">
        <v>50013</v>
      </c>
      <c r="M37" s="80">
        <f>Table17[[#This Row],[TRUMP VOTES]]/C198</f>
        <v>0.32421867403100019</v>
      </c>
      <c r="N37" s="18">
        <v>0.621</v>
      </c>
      <c r="O37" s="82">
        <f>1-(Table17[[#This Row],[NbP]]+Table17[[#This Row],[NbP2]])</f>
        <v>0.4862793908866373</v>
      </c>
    </row>
    <row r="38" spans="1:15" ht="20">
      <c r="A38" s="11" t="s">
        <v>69</v>
      </c>
      <c r="B38" s="12" t="s">
        <v>1235</v>
      </c>
      <c r="C38" s="11">
        <v>2019</v>
      </c>
      <c r="D38" s="11" t="s">
        <v>295</v>
      </c>
      <c r="E38" s="11">
        <v>23</v>
      </c>
      <c r="F38" s="29">
        <f t="shared" si="1"/>
        <v>1</v>
      </c>
      <c r="H38" s="16" t="s">
        <v>1329</v>
      </c>
      <c r="I38" s="17">
        <v>2059</v>
      </c>
      <c r="J38" s="80">
        <f>Table17[[#This Row],[BIDEN VOTES]]/C199</f>
        <v>0.11959110181797061</v>
      </c>
      <c r="K38" s="18">
        <v>0.29299999999999998</v>
      </c>
      <c r="L38" s="17">
        <v>4900</v>
      </c>
      <c r="M38" s="80">
        <f>Table17[[#This Row],[TRUMP VOTES]]/C199</f>
        <v>0.28460242783295581</v>
      </c>
      <c r="N38" s="18">
        <v>0.69699999999999995</v>
      </c>
      <c r="O38" s="82">
        <f>1-(Table17[[#This Row],[NbP]]+Table17[[#This Row],[NbP2]])</f>
        <v>0.59580647034907352</v>
      </c>
    </row>
    <row r="39" spans="1:15" ht="20">
      <c r="A39" s="13" t="s">
        <v>69</v>
      </c>
      <c r="B39" s="14" t="s">
        <v>1236</v>
      </c>
      <c r="C39" s="13">
        <v>2019</v>
      </c>
      <c r="D39" s="13" t="s">
        <v>295</v>
      </c>
      <c r="E39" s="13">
        <v>4.2</v>
      </c>
      <c r="F39" s="29">
        <f t="shared" si="1"/>
        <v>0.15695067264573989</v>
      </c>
      <c r="H39" s="16" t="s">
        <v>1330</v>
      </c>
      <c r="I39" s="17">
        <v>24210</v>
      </c>
      <c r="J39" s="80">
        <f>Table17[[#This Row],[BIDEN VOTES]]/C200</f>
        <v>0.16600497809227985</v>
      </c>
      <c r="K39" s="18">
        <v>0.315</v>
      </c>
      <c r="L39" s="17">
        <v>51501</v>
      </c>
      <c r="M39" s="80">
        <f>Table17[[#This Row],[TRUMP VOTES]]/C200</f>
        <v>0.35313599243000843</v>
      </c>
      <c r="N39" s="18">
        <v>0.67100000000000004</v>
      </c>
      <c r="O39" s="82">
        <f>1-(Table17[[#This Row],[NbP]]+Table17[[#This Row],[NbP2]])</f>
        <v>0.48085902947771175</v>
      </c>
    </row>
    <row r="40" spans="1:15" ht="20">
      <c r="A40" s="11" t="s">
        <v>69</v>
      </c>
      <c r="B40" s="12" t="s">
        <v>1237</v>
      </c>
      <c r="C40" s="11">
        <v>2019</v>
      </c>
      <c r="D40" s="11" t="s">
        <v>295</v>
      </c>
      <c r="E40" s="11">
        <v>5.2</v>
      </c>
      <c r="F40" s="29">
        <f t="shared" si="1"/>
        <v>0.20179372197309417</v>
      </c>
      <c r="H40" s="16" t="s">
        <v>1331</v>
      </c>
      <c r="I40" s="17">
        <v>1615</v>
      </c>
      <c r="J40" s="80">
        <f>Table17[[#This Row],[BIDEN VOTES]]/C201</f>
        <v>0.13165403114045815</v>
      </c>
      <c r="K40" s="18">
        <v>0.26500000000000001</v>
      </c>
      <c r="L40" s="17">
        <v>4428</v>
      </c>
      <c r="M40" s="80">
        <f>Table17[[#This Row],[TRUMP VOTES]]/C201</f>
        <v>0.36096845194424065</v>
      </c>
      <c r="N40" s="18">
        <v>0.72599999999999998</v>
      </c>
      <c r="O40" s="82">
        <f>1-(Table17[[#This Row],[NbP]]+Table17[[#This Row],[NbP2]])</f>
        <v>0.5073775169153012</v>
      </c>
    </row>
    <row r="41" spans="1:15" ht="20">
      <c r="A41" s="13" t="s">
        <v>69</v>
      </c>
      <c r="B41" s="14" t="s">
        <v>1238</v>
      </c>
      <c r="C41" s="13">
        <v>2019</v>
      </c>
      <c r="D41" s="13" t="s">
        <v>295</v>
      </c>
      <c r="E41" s="13">
        <v>7.9</v>
      </c>
      <c r="F41" s="29">
        <f t="shared" si="1"/>
        <v>0.32286995515695066</v>
      </c>
      <c r="H41" s="16" t="s">
        <v>1332</v>
      </c>
      <c r="I41" s="17">
        <v>2982</v>
      </c>
      <c r="J41" s="80">
        <f>Table17[[#This Row],[BIDEN VOTES]]/C202</f>
        <v>0.13248034119685459</v>
      </c>
      <c r="K41" s="18">
        <v>0.371</v>
      </c>
      <c r="L41" s="17">
        <v>4985</v>
      </c>
      <c r="M41" s="80">
        <f>Table17[[#This Row],[TRUMP VOTES]]/C202</f>
        <v>0.22146696876804833</v>
      </c>
      <c r="N41" s="18">
        <v>0.621</v>
      </c>
      <c r="O41" s="82">
        <f>1-(Table17[[#This Row],[NbP]]+Table17[[#This Row],[NbP2]])</f>
        <v>0.64605269003509713</v>
      </c>
    </row>
    <row r="42" spans="1:15" ht="20">
      <c r="A42" s="11" t="s">
        <v>69</v>
      </c>
      <c r="B42" s="12" t="s">
        <v>1239</v>
      </c>
      <c r="C42" s="11">
        <v>2019</v>
      </c>
      <c r="D42" s="11" t="s">
        <v>295</v>
      </c>
      <c r="E42" s="11">
        <v>4.5</v>
      </c>
      <c r="F42" s="29">
        <f t="shared" si="1"/>
        <v>0.17040358744394618</v>
      </c>
      <c r="H42" s="16" t="s">
        <v>1333</v>
      </c>
      <c r="I42" s="17">
        <v>1261</v>
      </c>
      <c r="J42" s="80">
        <f>Table17[[#This Row],[BIDEN VOTES]]/C203</f>
        <v>7.7921275412469876E-2</v>
      </c>
      <c r="K42" s="18">
        <v>0.17</v>
      </c>
      <c r="L42" s="17">
        <v>6066</v>
      </c>
      <c r="M42" s="80">
        <f>Table17[[#This Row],[TRUMP VOTES]]/C203</f>
        <v>0.37483779274547363</v>
      </c>
      <c r="N42" s="18">
        <v>0.81599999999999995</v>
      </c>
      <c r="O42" s="82">
        <f>1-(Table17[[#This Row],[NbP]]+Table17[[#This Row],[NbP2]])</f>
        <v>0.54724093184205647</v>
      </c>
    </row>
    <row r="43" spans="1:15" ht="20">
      <c r="A43" s="13" t="s">
        <v>69</v>
      </c>
      <c r="B43" s="14" t="s">
        <v>612</v>
      </c>
      <c r="C43" s="13">
        <v>2019</v>
      </c>
      <c r="D43" s="13" t="s">
        <v>295</v>
      </c>
      <c r="E43" s="13">
        <v>9.3000000000000007</v>
      </c>
      <c r="F43" s="29">
        <f t="shared" si="1"/>
        <v>0.3856502242152467</v>
      </c>
      <c r="H43" s="16" t="s">
        <v>385</v>
      </c>
      <c r="I43" s="17">
        <v>2486</v>
      </c>
      <c r="J43" s="80">
        <f>Table17[[#This Row],[BIDEN VOTES]]/C204</f>
        <v>9.8350278909680733E-2</v>
      </c>
      <c r="K43" s="18">
        <v>0.155</v>
      </c>
      <c r="L43" s="17">
        <v>13398</v>
      </c>
      <c r="M43" s="80">
        <f>Table17[[#This Row],[TRUMP VOTES]]/C204</f>
        <v>0.53004707837164222</v>
      </c>
      <c r="N43" s="18">
        <v>0.83299999999999996</v>
      </c>
      <c r="O43" s="82">
        <f>1-(Table17[[#This Row],[NbP]]+Table17[[#This Row],[NbP2]])</f>
        <v>0.37160264271867705</v>
      </c>
    </row>
    <row r="44" spans="1:15" ht="20">
      <c r="A44" s="11" t="s">
        <v>69</v>
      </c>
      <c r="B44" s="12" t="s">
        <v>90</v>
      </c>
      <c r="C44" s="11">
        <v>2019</v>
      </c>
      <c r="D44" s="11" t="s">
        <v>295</v>
      </c>
      <c r="E44" s="11">
        <v>9</v>
      </c>
      <c r="F44" s="29">
        <f t="shared" si="1"/>
        <v>0.37219730941704038</v>
      </c>
      <c r="H44" s="16" t="s">
        <v>189</v>
      </c>
      <c r="I44" s="17">
        <v>4782</v>
      </c>
      <c r="J44" s="80">
        <f>Table17[[#This Row],[BIDEN VOTES]]/C205</f>
        <v>0.17980823463056966</v>
      </c>
      <c r="K44" s="18">
        <v>0.41099999999999998</v>
      </c>
      <c r="L44" s="17">
        <v>6755</v>
      </c>
      <c r="M44" s="80">
        <f>Table17[[#This Row],[TRUMP VOTES]]/C205</f>
        <v>0.25399511186313217</v>
      </c>
      <c r="N44" s="18">
        <v>0.58099999999999996</v>
      </c>
      <c r="O44" s="82">
        <f>1-(Table17[[#This Row],[NbP]]+Table17[[#This Row],[NbP2]])</f>
        <v>0.56619665350629811</v>
      </c>
    </row>
    <row r="45" spans="1:15" ht="20">
      <c r="A45" s="13" t="s">
        <v>69</v>
      </c>
      <c r="B45" s="14" t="s">
        <v>1240</v>
      </c>
      <c r="C45" s="13">
        <v>2019</v>
      </c>
      <c r="D45" s="13" t="s">
        <v>295</v>
      </c>
      <c r="E45" s="13">
        <v>2.9</v>
      </c>
      <c r="F45" s="29">
        <f t="shared" si="1"/>
        <v>9.8654708520179379E-2</v>
      </c>
      <c r="H45" s="16" t="s">
        <v>190</v>
      </c>
      <c r="I45" s="17">
        <v>308162</v>
      </c>
      <c r="J45" s="80">
        <f>Table17[[#This Row],[BIDEN VOTES]]/C206</f>
        <v>0.40800649289607793</v>
      </c>
      <c r="K45" s="18">
        <v>0.83099999999999996</v>
      </c>
      <c r="L45" s="17">
        <v>58377</v>
      </c>
      <c r="M45" s="80">
        <f>Table17[[#This Row],[TRUMP VOTES]]/C206</f>
        <v>7.7291148927493794E-2</v>
      </c>
      <c r="N45" s="18">
        <v>0.157</v>
      </c>
      <c r="O45" s="82">
        <f>1-(Table17[[#This Row],[NbP]]+Table17[[#This Row],[NbP2]])</f>
        <v>0.51470235817642829</v>
      </c>
    </row>
    <row r="46" spans="1:15" ht="20">
      <c r="A46" s="11" t="s">
        <v>69</v>
      </c>
      <c r="B46" s="12" t="s">
        <v>1241</v>
      </c>
      <c r="C46" s="11">
        <v>2019</v>
      </c>
      <c r="D46" s="11" t="s">
        <v>295</v>
      </c>
      <c r="E46" s="11">
        <v>5.3</v>
      </c>
      <c r="F46" s="29">
        <f t="shared" si="1"/>
        <v>0.20627802690582958</v>
      </c>
      <c r="H46" s="16" t="s">
        <v>1334</v>
      </c>
      <c r="I46" s="17">
        <v>2172</v>
      </c>
      <c r="J46" s="80">
        <f>Table17[[#This Row],[BIDEN VOTES]]/C207</f>
        <v>0.10480096501809409</v>
      </c>
      <c r="K46" s="18">
        <v>0.26900000000000002</v>
      </c>
      <c r="L46" s="17">
        <v>5843</v>
      </c>
      <c r="M46" s="80">
        <f>Table17[[#This Row],[TRUMP VOTES]]/C207</f>
        <v>0.28193003618817852</v>
      </c>
      <c r="N46" s="18">
        <v>0.72399999999999998</v>
      </c>
      <c r="O46" s="82">
        <f>1-(Table17[[#This Row],[NbP]]+Table17[[#This Row],[NbP2]])</f>
        <v>0.61326899879372743</v>
      </c>
    </row>
    <row r="47" spans="1:15" ht="20">
      <c r="A47" s="13" t="s">
        <v>69</v>
      </c>
      <c r="B47" s="14" t="s">
        <v>1242</v>
      </c>
      <c r="C47" s="13">
        <v>2019</v>
      </c>
      <c r="D47" s="13" t="s">
        <v>295</v>
      </c>
      <c r="E47" s="13">
        <v>3.2</v>
      </c>
      <c r="F47" s="29">
        <f t="shared" si="1"/>
        <v>0.11210762331838564</v>
      </c>
      <c r="H47" s="16" t="s">
        <v>1335</v>
      </c>
      <c r="I47" s="17">
        <v>1911</v>
      </c>
      <c r="J47" s="80">
        <f>Table17[[#This Row],[BIDEN VOTES]]/C208</f>
        <v>0.14081497310441382</v>
      </c>
      <c r="K47" s="18">
        <v>0.46600000000000003</v>
      </c>
      <c r="L47" s="17">
        <v>2159</v>
      </c>
      <c r="M47" s="80">
        <f>Table17[[#This Row],[TRUMP VOTES]]/C208</f>
        <v>0.1590892343968757</v>
      </c>
      <c r="N47" s="18">
        <v>0.52600000000000002</v>
      </c>
      <c r="O47" s="82">
        <f>1-(Table17[[#This Row],[NbP]]+Table17[[#This Row],[NbP2]])</f>
        <v>0.70009579249871046</v>
      </c>
    </row>
    <row r="48" spans="1:15" ht="20">
      <c r="A48" s="11" t="s">
        <v>69</v>
      </c>
      <c r="B48" s="12" t="s">
        <v>1243</v>
      </c>
      <c r="C48" s="11">
        <v>2019</v>
      </c>
      <c r="D48" s="11" t="s">
        <v>295</v>
      </c>
      <c r="E48" s="11">
        <v>10</v>
      </c>
      <c r="F48" s="29">
        <f t="shared" si="1"/>
        <v>0.41704035874439466</v>
      </c>
      <c r="H48" s="16" t="s">
        <v>1336</v>
      </c>
      <c r="I48" s="17">
        <v>24568</v>
      </c>
      <c r="J48" s="80">
        <f>Table17[[#This Row],[BIDEN VOTES]]/C209</f>
        <v>0.27699107062325246</v>
      </c>
      <c r="K48" s="18">
        <v>0.69599999999999995</v>
      </c>
      <c r="L48" s="17">
        <v>10441</v>
      </c>
      <c r="M48" s="80">
        <f>Table17[[#This Row],[TRUMP VOTES]]/C209</f>
        <v>0.11771669522864617</v>
      </c>
      <c r="N48" s="18">
        <v>0.29599999999999999</v>
      </c>
      <c r="O48" s="82">
        <f>1-(Table17[[#This Row],[NbP]]+Table17[[#This Row],[NbP2]])</f>
        <v>0.6052922341481014</v>
      </c>
    </row>
    <row r="49" spans="1:15" ht="20">
      <c r="A49" s="13" t="s">
        <v>69</v>
      </c>
      <c r="B49" s="14" t="s">
        <v>315</v>
      </c>
      <c r="C49" s="13">
        <v>2019</v>
      </c>
      <c r="D49" s="13" t="s">
        <v>295</v>
      </c>
      <c r="E49" s="13">
        <v>4.5</v>
      </c>
      <c r="F49" s="29">
        <f t="shared" si="1"/>
        <v>0.17040358744394618</v>
      </c>
      <c r="H49" s="16" t="s">
        <v>276</v>
      </c>
      <c r="I49" s="17">
        <v>42814</v>
      </c>
      <c r="J49" s="80">
        <f>Table17[[#This Row],[BIDEN VOTES]]/C210</f>
        <v>0.29514073195783902</v>
      </c>
      <c r="K49" s="18">
        <v>0.62</v>
      </c>
      <c r="L49" s="17">
        <v>25454</v>
      </c>
      <c r="M49" s="80">
        <f>Table17[[#This Row],[TRUMP VOTES]]/C210</f>
        <v>0.17546858950938557</v>
      </c>
      <c r="N49" s="18">
        <v>0.36799999999999999</v>
      </c>
      <c r="O49" s="82">
        <f>1-(Table17[[#This Row],[NbP]]+Table17[[#This Row],[NbP2]])</f>
        <v>0.52939067853277544</v>
      </c>
    </row>
    <row r="50" spans="1:15" ht="20">
      <c r="A50" s="11" t="s">
        <v>69</v>
      </c>
      <c r="B50" s="12" t="s">
        <v>1244</v>
      </c>
      <c r="C50" s="11">
        <v>2019</v>
      </c>
      <c r="D50" s="11" t="s">
        <v>295</v>
      </c>
      <c r="E50" s="11">
        <v>2.8</v>
      </c>
      <c r="F50" s="29">
        <f t="shared" si="1"/>
        <v>9.4170403587443927E-2</v>
      </c>
      <c r="H50" s="16" t="s">
        <v>1337</v>
      </c>
      <c r="I50" s="17">
        <v>2450</v>
      </c>
      <c r="J50" s="80">
        <f>Table17[[#This Row],[BIDEN VOTES]]/C211</f>
        <v>0.23977294969661381</v>
      </c>
      <c r="K50" s="18">
        <v>0.47199999999999998</v>
      </c>
      <c r="L50" s="17">
        <v>2710</v>
      </c>
      <c r="M50" s="80">
        <f>Table17[[#This Row],[TRUMP VOTES]]/C211</f>
        <v>0.26521824231747898</v>
      </c>
      <c r="N50" s="18">
        <v>0.52200000000000002</v>
      </c>
      <c r="O50" s="82">
        <f>1-(Table17[[#This Row],[NbP]]+Table17[[#This Row],[NbP2]])</f>
        <v>0.49500880798590718</v>
      </c>
    </row>
    <row r="51" spans="1:15" ht="20">
      <c r="A51" s="13" t="s">
        <v>69</v>
      </c>
      <c r="B51" s="14" t="s">
        <v>1245</v>
      </c>
      <c r="C51" s="13">
        <v>2019</v>
      </c>
      <c r="D51" s="13" t="s">
        <v>295</v>
      </c>
      <c r="E51" s="13">
        <v>8.4</v>
      </c>
      <c r="F51" s="29">
        <f t="shared" si="1"/>
        <v>0.3452914798206278</v>
      </c>
      <c r="H51" s="16" t="s">
        <v>1338</v>
      </c>
      <c r="I51" s="19">
        <v>167</v>
      </c>
      <c r="J51" s="80">
        <f>Table17[[#This Row],[BIDEN VOTES]]/C212</f>
        <v>4.2342799188640971E-2</v>
      </c>
      <c r="K51" s="18">
        <v>0.11600000000000001</v>
      </c>
      <c r="L51" s="17">
        <v>1256</v>
      </c>
      <c r="M51" s="80">
        <f>Table17[[#This Row],[TRUMP VOTES]]/C212</f>
        <v>0.31845841784989859</v>
      </c>
      <c r="N51" s="18">
        <v>0.872</v>
      </c>
      <c r="O51" s="82">
        <f>1-(Table17[[#This Row],[NbP]]+Table17[[#This Row],[NbP2]])</f>
        <v>0.63919878296146049</v>
      </c>
    </row>
    <row r="52" spans="1:15" ht="20">
      <c r="A52" s="11" t="s">
        <v>69</v>
      </c>
      <c r="B52" s="12" t="s">
        <v>1246</v>
      </c>
      <c r="C52" s="11">
        <v>2019</v>
      </c>
      <c r="D52" s="11" t="s">
        <v>295</v>
      </c>
      <c r="E52" s="11">
        <v>4.4000000000000004</v>
      </c>
      <c r="F52" s="29">
        <f t="shared" si="1"/>
        <v>0.16591928251121077</v>
      </c>
      <c r="H52" s="16" t="s">
        <v>1339</v>
      </c>
      <c r="I52" s="17">
        <v>7718</v>
      </c>
      <c r="J52" s="80">
        <f>Table17[[#This Row],[BIDEN VOTES]]/C213</f>
        <v>0.12400186372326923</v>
      </c>
      <c r="K52" s="18">
        <v>0.24399999999999999</v>
      </c>
      <c r="L52" s="17">
        <v>23361</v>
      </c>
      <c r="M52" s="80">
        <f>Table17[[#This Row],[TRUMP VOTES]]/C213</f>
        <v>0.37533137321058468</v>
      </c>
      <c r="N52" s="18">
        <v>0.74</v>
      </c>
      <c r="O52" s="82">
        <f>1-(Table17[[#This Row],[NbP]]+Table17[[#This Row],[NbP2]])</f>
        <v>0.5006667630661461</v>
      </c>
    </row>
    <row r="53" spans="1:15" ht="20">
      <c r="A53" s="13" t="s">
        <v>69</v>
      </c>
      <c r="B53" s="14" t="s">
        <v>1112</v>
      </c>
      <c r="C53" s="13">
        <v>2019</v>
      </c>
      <c r="D53" s="13" t="s">
        <v>295</v>
      </c>
      <c r="E53" s="13">
        <v>7.2</v>
      </c>
      <c r="F53" s="29">
        <f t="shared" si="1"/>
        <v>0.2914798206278027</v>
      </c>
      <c r="H53" s="16" t="s">
        <v>1161</v>
      </c>
      <c r="I53" s="17">
        <v>2879</v>
      </c>
      <c r="J53" s="80">
        <f>Table17[[#This Row],[BIDEN VOTES]]/C214</f>
        <v>0.15022959716134418</v>
      </c>
      <c r="K53" s="18">
        <v>0.314</v>
      </c>
      <c r="L53" s="17">
        <v>6226</v>
      </c>
      <c r="M53" s="80">
        <f>Table17[[#This Row],[TRUMP VOTES]]/C214</f>
        <v>0.32487998330202461</v>
      </c>
      <c r="N53" s="18">
        <v>0.67900000000000005</v>
      </c>
      <c r="O53" s="82">
        <f>1-(Table17[[#This Row],[NbP]]+Table17[[#This Row],[NbP2]])</f>
        <v>0.52489041953663118</v>
      </c>
    </row>
    <row r="54" spans="1:15" ht="20">
      <c r="A54" s="11" t="s">
        <v>69</v>
      </c>
      <c r="B54" s="12" t="s">
        <v>1247</v>
      </c>
      <c r="C54" s="11">
        <v>2019</v>
      </c>
      <c r="D54" s="11" t="s">
        <v>295</v>
      </c>
      <c r="E54" s="11">
        <v>7.1</v>
      </c>
      <c r="F54" s="29">
        <f t="shared" si="1"/>
        <v>0.2869955156950672</v>
      </c>
      <c r="H54" s="16" t="s">
        <v>1340</v>
      </c>
      <c r="I54" s="17">
        <v>2886</v>
      </c>
      <c r="J54" s="80">
        <f>Table17[[#This Row],[BIDEN VOTES]]/C215</f>
        <v>0.12812430632630412</v>
      </c>
      <c r="K54" s="18">
        <v>0.30399999999999999</v>
      </c>
      <c r="L54" s="17">
        <v>6553</v>
      </c>
      <c r="M54" s="80">
        <f>Table17[[#This Row],[TRUMP VOTES]]/C215</f>
        <v>0.29092119866814653</v>
      </c>
      <c r="N54" s="18">
        <v>0.68899999999999995</v>
      </c>
      <c r="O54" s="82">
        <f>1-(Table17[[#This Row],[NbP]]+Table17[[#This Row],[NbP2]])</f>
        <v>0.58095449500554941</v>
      </c>
    </row>
    <row r="55" spans="1:15" ht="20">
      <c r="A55" s="13" t="s">
        <v>69</v>
      </c>
      <c r="B55" s="14" t="s">
        <v>1248</v>
      </c>
      <c r="C55" s="13">
        <v>2019</v>
      </c>
      <c r="D55" s="13" t="s">
        <v>295</v>
      </c>
      <c r="E55" s="13"/>
      <c r="F55" s="29">
        <f t="shared" si="1"/>
        <v>-3.1390134529147982E-2</v>
      </c>
      <c r="H55" s="16" t="s">
        <v>1341</v>
      </c>
      <c r="I55" s="17">
        <v>1324</v>
      </c>
      <c r="J55" s="80">
        <f>Table17[[#This Row],[BIDEN VOTES]]/C216</f>
        <v>0.12407459469590479</v>
      </c>
      <c r="K55" s="18">
        <v>0.312</v>
      </c>
      <c r="L55" s="17">
        <v>2888</v>
      </c>
      <c r="M55" s="80">
        <f>Table17[[#This Row],[TRUMP VOTES]]/C216</f>
        <v>0.27064005247868056</v>
      </c>
      <c r="N55" s="18">
        <v>0.68</v>
      </c>
      <c r="O55" s="82">
        <f>1-(Table17[[#This Row],[NbP]]+Table17[[#This Row],[NbP2]])</f>
        <v>0.60528535282541462</v>
      </c>
    </row>
    <row r="56" spans="1:15" ht="20">
      <c r="A56" s="11" t="s">
        <v>69</v>
      </c>
      <c r="B56" s="12" t="s">
        <v>628</v>
      </c>
      <c r="C56" s="11">
        <v>2019</v>
      </c>
      <c r="D56" s="11" t="s">
        <v>295</v>
      </c>
      <c r="E56" s="11">
        <v>4.7</v>
      </c>
      <c r="F56" s="29">
        <f t="shared" si="1"/>
        <v>0.17937219730941703</v>
      </c>
      <c r="H56" s="16" t="s">
        <v>401</v>
      </c>
      <c r="I56" s="17">
        <v>2570</v>
      </c>
      <c r="J56" s="80">
        <f>Table17[[#This Row],[BIDEN VOTES]]/C217</f>
        <v>9.962398728534326E-2</v>
      </c>
      <c r="K56" s="18">
        <v>0.17299999999999999</v>
      </c>
      <c r="L56" s="17">
        <v>12169</v>
      </c>
      <c r="M56" s="80">
        <f>Table17[[#This Row],[TRUMP VOTES]]/C217</f>
        <v>0.47172151800596968</v>
      </c>
      <c r="N56" s="18">
        <v>0.82</v>
      </c>
      <c r="O56" s="82">
        <f>1-(Table17[[#This Row],[NbP]]+Table17[[#This Row],[NbP2]])</f>
        <v>0.42865449470868711</v>
      </c>
    </row>
    <row r="57" spans="1:15" ht="20">
      <c r="A57" s="13" t="s">
        <v>69</v>
      </c>
      <c r="B57" s="14" t="s">
        <v>94</v>
      </c>
      <c r="C57" s="13">
        <v>2019</v>
      </c>
      <c r="D57" s="13" t="s">
        <v>295</v>
      </c>
      <c r="E57" s="13">
        <v>1.5</v>
      </c>
      <c r="F57" s="29">
        <f t="shared" si="1"/>
        <v>3.5874439461883408E-2</v>
      </c>
      <c r="H57" s="16" t="s">
        <v>193</v>
      </c>
      <c r="I57" s="17">
        <v>33062</v>
      </c>
      <c r="J57" s="80">
        <f>Table17[[#This Row],[BIDEN VOTES]]/C218</f>
        <v>0.29118227295145493</v>
      </c>
      <c r="K57" s="18">
        <v>0.45900000000000002</v>
      </c>
      <c r="L57" s="17">
        <v>37956</v>
      </c>
      <c r="M57" s="80">
        <f>Table17[[#This Row],[TRUMP VOTES]]/C218</f>
        <v>0.33428450644683999</v>
      </c>
      <c r="N57" s="18">
        <v>0.52700000000000002</v>
      </c>
      <c r="O57" s="82">
        <f>1-(Table17[[#This Row],[NbP]]+Table17[[#This Row],[NbP2]])</f>
        <v>0.37453322060170513</v>
      </c>
    </row>
    <row r="58" spans="1:15" ht="20">
      <c r="A58" s="11" t="s">
        <v>69</v>
      </c>
      <c r="B58" s="12" t="s">
        <v>630</v>
      </c>
      <c r="C58" s="11">
        <v>2019</v>
      </c>
      <c r="D58" s="11" t="s">
        <v>295</v>
      </c>
      <c r="E58" s="11">
        <v>5.6</v>
      </c>
      <c r="F58" s="29">
        <f t="shared" si="1"/>
        <v>0.21973094170403584</v>
      </c>
      <c r="H58" s="16" t="s">
        <v>403</v>
      </c>
      <c r="I58" s="17">
        <v>11917</v>
      </c>
      <c r="J58" s="80">
        <f>Table17[[#This Row],[BIDEN VOTES]]/C219</f>
        <v>0.12184448647819641</v>
      </c>
      <c r="K58" s="18">
        <v>0.28799999999999998</v>
      </c>
      <c r="L58" s="17">
        <v>28906</v>
      </c>
      <c r="M58" s="80">
        <f>Table17[[#This Row],[TRUMP VOTES]]/C219</f>
        <v>0.29554726240989726</v>
      </c>
      <c r="N58" s="18">
        <v>0.69899999999999995</v>
      </c>
      <c r="O58" s="82">
        <f>1-(Table17[[#This Row],[NbP]]+Table17[[#This Row],[NbP2]])</f>
        <v>0.58260825111190639</v>
      </c>
    </row>
    <row r="59" spans="1:15" ht="20">
      <c r="A59" s="13" t="s">
        <v>69</v>
      </c>
      <c r="B59" s="14" t="s">
        <v>1249</v>
      </c>
      <c r="C59" s="13">
        <v>2019</v>
      </c>
      <c r="D59" s="13" t="s">
        <v>295</v>
      </c>
      <c r="E59" s="13">
        <v>1.5</v>
      </c>
      <c r="F59" s="29">
        <f t="shared" si="1"/>
        <v>3.5874439461883408E-2</v>
      </c>
      <c r="H59" s="16" t="s">
        <v>1342</v>
      </c>
      <c r="I59" s="17">
        <v>42208</v>
      </c>
      <c r="J59" s="80">
        <f>Table17[[#This Row],[BIDEN VOTES]]/C220</f>
        <v>0.17839014391073729</v>
      </c>
      <c r="K59" s="18">
        <v>0.32600000000000001</v>
      </c>
      <c r="L59" s="17">
        <v>85123</v>
      </c>
      <c r="M59" s="80">
        <f>Table17[[#This Row],[TRUMP VOTES]]/C220</f>
        <v>0.35976839035523339</v>
      </c>
      <c r="N59" s="18">
        <v>0.65800000000000003</v>
      </c>
      <c r="O59" s="82">
        <f>1-(Table17[[#This Row],[NbP]]+Table17[[#This Row],[NbP2]])</f>
        <v>0.46184146573402929</v>
      </c>
    </row>
    <row r="60" spans="1:15" ht="20">
      <c r="A60" s="11" t="s">
        <v>69</v>
      </c>
      <c r="B60" s="12" t="s">
        <v>96</v>
      </c>
      <c r="C60" s="11">
        <v>2019</v>
      </c>
      <c r="D60" s="11" t="s">
        <v>295</v>
      </c>
      <c r="E60" s="11">
        <v>3.3</v>
      </c>
      <c r="F60" s="29">
        <f t="shared" si="1"/>
        <v>0.11659192825112105</v>
      </c>
      <c r="H60" s="16" t="s">
        <v>195</v>
      </c>
      <c r="I60" s="17">
        <v>1593</v>
      </c>
      <c r="J60" s="80">
        <f>Table17[[#This Row],[BIDEN VOTES]]/C221</f>
        <v>6.9215728872474472E-2</v>
      </c>
      <c r="K60" s="18">
        <v>0.14799999999999999</v>
      </c>
      <c r="L60" s="17">
        <v>9069</v>
      </c>
      <c r="M60" s="80">
        <f>Table17[[#This Row],[TRUMP VOTES]]/C221</f>
        <v>0.3940473604171193</v>
      </c>
      <c r="N60" s="18">
        <v>0.84199999999999997</v>
      </c>
      <c r="O60" s="82">
        <f>1-(Table17[[#This Row],[NbP]]+Table17[[#This Row],[NbP2]])</f>
        <v>0.5367369107104063</v>
      </c>
    </row>
    <row r="61" spans="1:15" ht="20">
      <c r="A61" s="13" t="s">
        <v>69</v>
      </c>
      <c r="B61" s="14" t="s">
        <v>1250</v>
      </c>
      <c r="C61" s="13">
        <v>2019</v>
      </c>
      <c r="D61" s="13" t="s">
        <v>295</v>
      </c>
      <c r="E61" s="13">
        <v>2</v>
      </c>
      <c r="F61" s="29">
        <f t="shared" si="1"/>
        <v>5.829596412556054E-2</v>
      </c>
      <c r="H61" s="16" t="s">
        <v>1343</v>
      </c>
      <c r="I61" s="17">
        <v>380212</v>
      </c>
      <c r="J61" s="80">
        <f>Table17[[#This Row],[BIDEN VOTES]]/C222</f>
        <v>0.36157291617136605</v>
      </c>
      <c r="K61" s="18">
        <v>0.72599999999999998</v>
      </c>
      <c r="L61" s="17">
        <v>137247</v>
      </c>
      <c r="M61" s="80">
        <f>Table17[[#This Row],[TRUMP VOTES]]/C222</f>
        <v>0.13051875802386953</v>
      </c>
      <c r="N61" s="18">
        <v>0.26200000000000001</v>
      </c>
      <c r="O61" s="82">
        <f>1-(Table17[[#This Row],[NbP]]+Table17[[#This Row],[NbP2]])</f>
        <v>0.50790832580476442</v>
      </c>
    </row>
    <row r="62" spans="1:15" ht="20">
      <c r="A62" s="11" t="s">
        <v>69</v>
      </c>
      <c r="B62" s="12" t="s">
        <v>864</v>
      </c>
      <c r="C62" s="11">
        <v>2019</v>
      </c>
      <c r="D62" s="11" t="s">
        <v>295</v>
      </c>
      <c r="E62" s="11">
        <v>3.9</v>
      </c>
      <c r="F62" s="29">
        <f t="shared" si="1"/>
        <v>0.14349775784753363</v>
      </c>
      <c r="H62" s="16" t="s">
        <v>832</v>
      </c>
      <c r="I62" s="17">
        <v>2932</v>
      </c>
      <c r="J62" s="80">
        <f>Table17[[#This Row],[BIDEN VOTES]]/C223</f>
        <v>9.4623378299877367E-2</v>
      </c>
      <c r="K62" s="18">
        <v>0.17699999999999999</v>
      </c>
      <c r="L62" s="17">
        <v>13429</v>
      </c>
      <c r="M62" s="80">
        <f>Table17[[#This Row],[TRUMP VOTES]]/C223</f>
        <v>0.43338927257471116</v>
      </c>
      <c r="N62" s="18">
        <v>0.81299999999999994</v>
      </c>
      <c r="O62" s="82">
        <f>1-(Table17[[#This Row],[NbP]]+Table17[[#This Row],[NbP2]])</f>
        <v>0.47198734912541151</v>
      </c>
    </row>
    <row r="63" spans="1:15" ht="20">
      <c r="A63" s="13" t="s">
        <v>69</v>
      </c>
      <c r="B63" s="14" t="s">
        <v>1251</v>
      </c>
      <c r="C63" s="13">
        <v>2019</v>
      </c>
      <c r="D63" s="13" t="s">
        <v>295</v>
      </c>
      <c r="E63" s="13"/>
      <c r="F63" s="29">
        <f t="shared" si="1"/>
        <v>-3.1390134529147982E-2</v>
      </c>
      <c r="H63" s="16" t="s">
        <v>1344</v>
      </c>
      <c r="I63" s="19">
        <v>155</v>
      </c>
      <c r="J63" s="80">
        <f>Table17[[#This Row],[BIDEN VOTES]]/C224</f>
        <v>5.1943699731903485E-2</v>
      </c>
      <c r="K63" s="18">
        <v>9.9000000000000005E-2</v>
      </c>
      <c r="L63" s="17">
        <v>1402</v>
      </c>
      <c r="M63" s="80">
        <f>Table17[[#This Row],[TRUMP VOTES]]/C224</f>
        <v>0.46983914209115279</v>
      </c>
      <c r="N63" s="18">
        <v>0.89600000000000002</v>
      </c>
      <c r="O63" s="82">
        <f>1-(Table17[[#This Row],[NbP]]+Table17[[#This Row],[NbP2]])</f>
        <v>0.47821715817694377</v>
      </c>
    </row>
    <row r="64" spans="1:15" ht="20">
      <c r="A64" s="11" t="s">
        <v>69</v>
      </c>
      <c r="B64" s="12" t="s">
        <v>1252</v>
      </c>
      <c r="C64" s="11">
        <v>2019</v>
      </c>
      <c r="D64" s="11" t="s">
        <v>295</v>
      </c>
      <c r="E64" s="11">
        <v>2.7</v>
      </c>
      <c r="F64" s="29">
        <f t="shared" si="1"/>
        <v>8.9686098654708515E-2</v>
      </c>
      <c r="H64" s="16" t="s">
        <v>1345</v>
      </c>
      <c r="I64" s="17">
        <v>15882</v>
      </c>
      <c r="J64" s="80">
        <f>Table17[[#This Row],[BIDEN VOTES]]/C225</f>
        <v>0.18682947487295312</v>
      </c>
      <c r="K64" s="18">
        <v>0.378</v>
      </c>
      <c r="L64" s="17">
        <v>25617</v>
      </c>
      <c r="M64" s="80">
        <f>Table17[[#This Row],[TRUMP VOTES]]/C225</f>
        <v>0.30134810841332582</v>
      </c>
      <c r="N64" s="18">
        <v>0.61</v>
      </c>
      <c r="O64" s="82">
        <f>1-(Table17[[#This Row],[NbP]]+Table17[[#This Row],[NbP2]])</f>
        <v>0.51182241671372108</v>
      </c>
    </row>
    <row r="65" spans="1:15" ht="20">
      <c r="A65" s="13" t="s">
        <v>69</v>
      </c>
      <c r="B65" s="14" t="s">
        <v>1253</v>
      </c>
      <c r="C65" s="13">
        <v>2019</v>
      </c>
      <c r="D65" s="13" t="s">
        <v>295</v>
      </c>
      <c r="E65" s="13">
        <v>6.2</v>
      </c>
      <c r="F65" s="29">
        <f t="shared" si="1"/>
        <v>0.24663677130044842</v>
      </c>
      <c r="H65" s="16" t="s">
        <v>1346</v>
      </c>
      <c r="I65" s="17">
        <v>4384</v>
      </c>
      <c r="J65" s="80">
        <f>Table17[[#This Row],[BIDEN VOTES]]/C226</f>
        <v>7.5905533624212207E-2</v>
      </c>
      <c r="K65" s="18">
        <v>0.182</v>
      </c>
      <c r="L65" s="17">
        <v>19405</v>
      </c>
      <c r="M65" s="80">
        <f>Table17[[#This Row],[TRUMP VOTES]]/C226</f>
        <v>0.33598240875406882</v>
      </c>
      <c r="N65" s="18">
        <v>0.80700000000000005</v>
      </c>
      <c r="O65" s="82">
        <f>1-(Table17[[#This Row],[NbP]]+Table17[[#This Row],[NbP2]])</f>
        <v>0.58811205762171892</v>
      </c>
    </row>
    <row r="66" spans="1:15" ht="20">
      <c r="A66" s="11" t="s">
        <v>69</v>
      </c>
      <c r="B66" s="12" t="s">
        <v>1254</v>
      </c>
      <c r="C66" s="11">
        <v>2019</v>
      </c>
      <c r="D66" s="11" t="s">
        <v>295</v>
      </c>
      <c r="E66" s="11">
        <v>6.6</v>
      </c>
      <c r="F66" s="29">
        <f t="shared" ref="F66:F97" si="2">(E66-MIN(E:E))/(MAX(E:E)-MIN(E:E))</f>
        <v>0.26457399103139012</v>
      </c>
      <c r="H66" s="16" t="s">
        <v>1347</v>
      </c>
      <c r="I66" s="17">
        <v>3619</v>
      </c>
      <c r="J66" s="80">
        <f>Table17[[#This Row],[BIDEN VOTES]]/C227</f>
        <v>0.14655975377637387</v>
      </c>
      <c r="K66" s="18">
        <v>0.33800000000000002</v>
      </c>
      <c r="L66" s="17">
        <v>7034</v>
      </c>
      <c r="M66" s="80">
        <f>Table17[[#This Row],[TRUMP VOTES]]/C227</f>
        <v>0.28485805693921357</v>
      </c>
      <c r="N66" s="18">
        <v>0.65700000000000003</v>
      </c>
      <c r="O66" s="82">
        <f>1-(Table17[[#This Row],[NbP]]+Table17[[#This Row],[NbP2]])</f>
        <v>0.56858218928441251</v>
      </c>
    </row>
    <row r="67" spans="1:15" ht="20">
      <c r="A67" s="13" t="s">
        <v>69</v>
      </c>
      <c r="B67" s="14" t="s">
        <v>100</v>
      </c>
      <c r="C67" s="13">
        <v>2019</v>
      </c>
      <c r="D67" s="13" t="s">
        <v>295</v>
      </c>
      <c r="E67" s="13">
        <v>12.7</v>
      </c>
      <c r="F67" s="29">
        <f t="shared" si="2"/>
        <v>0.53811659192825112</v>
      </c>
      <c r="H67" s="16" t="s">
        <v>199</v>
      </c>
      <c r="I67" s="17">
        <v>4087</v>
      </c>
      <c r="J67" s="80">
        <f>Table17[[#This Row],[BIDEN VOTES]]/C228</f>
        <v>0.22950359389038635</v>
      </c>
      <c r="K67" s="18">
        <v>0.36299999999999999</v>
      </c>
      <c r="L67" s="17">
        <v>7066</v>
      </c>
      <c r="M67" s="80">
        <f>Table17[[#This Row],[TRUMP VOTES]]/C228</f>
        <v>0.39678796046720577</v>
      </c>
      <c r="N67" s="18">
        <v>0.628</v>
      </c>
      <c r="O67" s="82">
        <f>1-(Table17[[#This Row],[NbP]]+Table17[[#This Row],[NbP2]])</f>
        <v>0.3737084456424079</v>
      </c>
    </row>
    <row r="68" spans="1:15" ht="20">
      <c r="A68" s="11" t="s">
        <v>69</v>
      </c>
      <c r="B68" s="12" t="s">
        <v>1255</v>
      </c>
      <c r="C68" s="11">
        <v>2019</v>
      </c>
      <c r="D68" s="11" t="s">
        <v>295</v>
      </c>
      <c r="E68" s="11">
        <v>0.9</v>
      </c>
      <c r="F68" s="29">
        <f t="shared" si="2"/>
        <v>8.9686098654708554E-3</v>
      </c>
      <c r="H68" s="16" t="s">
        <v>1348</v>
      </c>
      <c r="I68" s="17">
        <v>241994</v>
      </c>
      <c r="J68" s="80">
        <f>Table17[[#This Row],[BIDEN VOTES]]/C229</f>
        <v>0.26121582791279063</v>
      </c>
      <c r="K68" s="18">
        <v>0.58399999999999996</v>
      </c>
      <c r="L68" s="17">
        <v>166400</v>
      </c>
      <c r="M68" s="80">
        <f>Table17[[#This Row],[TRUMP VOTES]]/C229</f>
        <v>0.17961732011821929</v>
      </c>
      <c r="N68" s="18">
        <v>0.40200000000000002</v>
      </c>
      <c r="O68" s="82">
        <f>1-(Table17[[#This Row],[NbP]]+Table17[[#This Row],[NbP2]])</f>
        <v>0.55916685196899008</v>
      </c>
    </row>
    <row r="69" spans="1:15" ht="20">
      <c r="A69" s="13" t="s">
        <v>69</v>
      </c>
      <c r="B69" s="14" t="s">
        <v>1256</v>
      </c>
      <c r="C69" s="13">
        <v>2019</v>
      </c>
      <c r="D69" s="13" t="s">
        <v>295</v>
      </c>
      <c r="E69" s="13">
        <v>5.4</v>
      </c>
      <c r="F69" s="29">
        <f t="shared" si="2"/>
        <v>0.21076233183856502</v>
      </c>
      <c r="H69" s="16" t="s">
        <v>1349</v>
      </c>
      <c r="I69" s="17">
        <v>3562</v>
      </c>
      <c r="J69" s="80">
        <f>Table17[[#This Row],[BIDEN VOTES]]/C230</f>
        <v>7.8798336430404389E-2</v>
      </c>
      <c r="K69" s="18">
        <v>0.17399999999999999</v>
      </c>
      <c r="L69" s="17">
        <v>16637</v>
      </c>
      <c r="M69" s="80">
        <f>Table17[[#This Row],[TRUMP VOTES]]/C230</f>
        <v>0.36804265109282364</v>
      </c>
      <c r="N69" s="18">
        <v>0.81399999999999995</v>
      </c>
      <c r="O69" s="82">
        <f>1-(Table17[[#This Row],[NbP]]+Table17[[#This Row],[NbP2]])</f>
        <v>0.55315901247677202</v>
      </c>
    </row>
    <row r="70" spans="1:15" ht="20">
      <c r="A70" s="11" t="s">
        <v>69</v>
      </c>
      <c r="B70" s="12" t="s">
        <v>648</v>
      </c>
      <c r="C70" s="11">
        <v>2019</v>
      </c>
      <c r="D70" s="11" t="s">
        <v>295</v>
      </c>
      <c r="E70" s="11">
        <v>4.4000000000000004</v>
      </c>
      <c r="F70" s="29">
        <f t="shared" si="2"/>
        <v>0.16591928251121077</v>
      </c>
      <c r="H70" s="16" t="s">
        <v>421</v>
      </c>
      <c r="I70" s="17">
        <v>25033</v>
      </c>
      <c r="J70" s="80">
        <f>Table17[[#This Row],[BIDEN VOTES]]/C231</f>
        <v>0.12427395573736311</v>
      </c>
      <c r="K70" s="18">
        <v>0.27600000000000002</v>
      </c>
      <c r="L70" s="17">
        <v>64183</v>
      </c>
      <c r="M70" s="80">
        <f>Table17[[#This Row],[TRUMP VOTES]]/C231</f>
        <v>0.31863041988939306</v>
      </c>
      <c r="N70" s="18">
        <v>0.70899999999999996</v>
      </c>
      <c r="O70" s="82">
        <f>1-(Table17[[#This Row],[NbP]]+Table17[[#This Row],[NbP2]])</f>
        <v>0.55709562437324389</v>
      </c>
    </row>
    <row r="71" spans="1:15" ht="20">
      <c r="A71" s="13" t="s">
        <v>69</v>
      </c>
      <c r="B71" s="14" t="s">
        <v>104</v>
      </c>
      <c r="C71" s="13">
        <v>2019</v>
      </c>
      <c r="D71" s="13" t="s">
        <v>295</v>
      </c>
      <c r="E71" s="13"/>
      <c r="F71" s="29">
        <f t="shared" si="2"/>
        <v>-3.1390134529147982E-2</v>
      </c>
      <c r="H71" s="16" t="s">
        <v>203</v>
      </c>
      <c r="I71" s="17">
        <v>2976</v>
      </c>
      <c r="J71" s="80">
        <f>Table17[[#This Row],[BIDEN VOTES]]/C232</f>
        <v>0.35011764705882353</v>
      </c>
      <c r="K71" s="18">
        <v>0.71699999999999997</v>
      </c>
      <c r="L71" s="17">
        <v>1154</v>
      </c>
      <c r="M71" s="80">
        <f>Table17[[#This Row],[TRUMP VOTES]]/C232</f>
        <v>0.13576470588235295</v>
      </c>
      <c r="N71" s="18">
        <v>0.27800000000000002</v>
      </c>
      <c r="O71" s="82">
        <f>1-(Table17[[#This Row],[NbP]]+Table17[[#This Row],[NbP2]])</f>
        <v>0.51411764705882357</v>
      </c>
    </row>
    <row r="72" spans="1:15" ht="20">
      <c r="A72" s="11" t="s">
        <v>69</v>
      </c>
      <c r="B72" s="12" t="s">
        <v>1257</v>
      </c>
      <c r="C72" s="11">
        <v>2019</v>
      </c>
      <c r="D72" s="11" t="s">
        <v>295</v>
      </c>
      <c r="E72" s="11">
        <v>6.4</v>
      </c>
      <c r="F72" s="29">
        <f t="shared" si="2"/>
        <v>0.2556053811659193</v>
      </c>
      <c r="H72" s="16" t="s">
        <v>1350</v>
      </c>
      <c r="I72" s="17">
        <v>1791</v>
      </c>
      <c r="J72" s="80">
        <f>Table17[[#This Row],[BIDEN VOTES]]/C233</f>
        <v>6.0490407997838419E-2</v>
      </c>
      <c r="K72" s="18">
        <v>0.126</v>
      </c>
      <c r="L72" s="17">
        <v>12330</v>
      </c>
      <c r="M72" s="80">
        <f>Table17[[#This Row],[TRUMP VOTES]]/C233</f>
        <v>0.41644150229667659</v>
      </c>
      <c r="N72" s="18">
        <v>0.86599999999999999</v>
      </c>
      <c r="O72" s="82">
        <f>1-(Table17[[#This Row],[NbP]]+Table17[[#This Row],[NbP2]])</f>
        <v>0.52306808970548502</v>
      </c>
    </row>
    <row r="73" spans="1:15" ht="20">
      <c r="A73" s="13" t="s">
        <v>69</v>
      </c>
      <c r="B73" s="14" t="s">
        <v>650</v>
      </c>
      <c r="C73" s="13">
        <v>2019</v>
      </c>
      <c r="D73" s="13" t="s">
        <v>295</v>
      </c>
      <c r="E73" s="13">
        <v>3</v>
      </c>
      <c r="F73" s="29">
        <f t="shared" si="2"/>
        <v>0.10313901345291479</v>
      </c>
      <c r="H73" s="16" t="s">
        <v>423</v>
      </c>
      <c r="I73" s="17">
        <v>5457</v>
      </c>
      <c r="J73" s="80">
        <f>Table17[[#This Row],[BIDEN VOTES]]/C234</f>
        <v>0.15737109239820049</v>
      </c>
      <c r="K73" s="18">
        <v>0.27300000000000002</v>
      </c>
      <c r="L73" s="17">
        <v>14319</v>
      </c>
      <c r="M73" s="80">
        <f>Table17[[#This Row],[TRUMP VOTES]]/C234</f>
        <v>0.41293690160341445</v>
      </c>
      <c r="N73" s="18">
        <v>0.71599999999999997</v>
      </c>
      <c r="O73" s="82">
        <f>1-(Table17[[#This Row],[NbP]]+Table17[[#This Row],[NbP2]])</f>
        <v>0.42969200599838508</v>
      </c>
    </row>
    <row r="74" spans="1:15" ht="20">
      <c r="A74" s="11" t="s">
        <v>69</v>
      </c>
      <c r="B74" s="12" t="s">
        <v>1258</v>
      </c>
      <c r="C74" s="11">
        <v>2019</v>
      </c>
      <c r="D74" s="11" t="s">
        <v>295</v>
      </c>
      <c r="E74" s="11">
        <v>2.2000000000000002</v>
      </c>
      <c r="F74" s="29">
        <f t="shared" si="2"/>
        <v>6.7264573991031404E-2</v>
      </c>
      <c r="H74" s="16" t="s">
        <v>1351</v>
      </c>
      <c r="I74" s="17">
        <v>3157</v>
      </c>
      <c r="J74" s="80">
        <f>Table17[[#This Row],[BIDEN VOTES]]/C235</f>
        <v>0.12151187406181441</v>
      </c>
      <c r="K74" s="18">
        <v>0.248</v>
      </c>
      <c r="L74" s="17">
        <v>9465</v>
      </c>
      <c r="M74" s="80">
        <f>Table17[[#This Row],[TRUMP VOTES]]/C235</f>
        <v>0.36430468419229439</v>
      </c>
      <c r="N74" s="18">
        <v>0.74399999999999999</v>
      </c>
      <c r="O74" s="82">
        <f>1-(Table17[[#This Row],[NbP]]+Table17[[#This Row],[NbP2]])</f>
        <v>0.51418344174589126</v>
      </c>
    </row>
    <row r="75" spans="1:15" ht="20">
      <c r="A75" s="13" t="s">
        <v>69</v>
      </c>
      <c r="B75" s="14" t="s">
        <v>1259</v>
      </c>
      <c r="C75" s="13">
        <v>2019</v>
      </c>
      <c r="D75" s="13" t="s">
        <v>295</v>
      </c>
      <c r="E75" s="13">
        <v>5.6</v>
      </c>
      <c r="F75" s="29">
        <f t="shared" si="2"/>
        <v>0.21973094170403584</v>
      </c>
      <c r="H75" s="16" t="s">
        <v>1352</v>
      </c>
      <c r="I75" s="19">
        <v>824</v>
      </c>
      <c r="J75" s="80">
        <f>Table17[[#This Row],[BIDEN VOTES]]/C236</f>
        <v>6.991938905388205E-2</v>
      </c>
      <c r="K75" s="18">
        <v>0.153</v>
      </c>
      <c r="L75" s="17">
        <v>4519</v>
      </c>
      <c r="M75" s="80">
        <f>Table17[[#This Row],[TRUMP VOTES]]/C236</f>
        <v>0.38345354263894782</v>
      </c>
      <c r="N75" s="18">
        <v>0.83799999999999997</v>
      </c>
      <c r="O75" s="82">
        <f>1-(Table17[[#This Row],[NbP]]+Table17[[#This Row],[NbP2]])</f>
        <v>0.54662706830717012</v>
      </c>
    </row>
    <row r="76" spans="1:15" ht="20">
      <c r="A76" s="11" t="s">
        <v>69</v>
      </c>
      <c r="B76" s="12" t="s">
        <v>110</v>
      </c>
      <c r="C76" s="11">
        <v>2019</v>
      </c>
      <c r="D76" s="11" t="s">
        <v>295</v>
      </c>
      <c r="E76" s="11">
        <v>3.5</v>
      </c>
      <c r="F76" s="29">
        <f t="shared" si="2"/>
        <v>0.12556053811659193</v>
      </c>
      <c r="H76" s="16" t="s">
        <v>209</v>
      </c>
      <c r="I76" s="17">
        <v>73443</v>
      </c>
      <c r="J76" s="80">
        <f>Table17[[#This Row],[BIDEN VOTES]]/C237</f>
        <v>0.31932572154056194</v>
      </c>
      <c r="K76" s="18">
        <v>0.59699999999999998</v>
      </c>
      <c r="L76" s="17">
        <v>48259</v>
      </c>
      <c r="M76" s="80">
        <f>Table17[[#This Row],[TRUMP VOTES]]/C237</f>
        <v>0.20982721288381437</v>
      </c>
      <c r="N76" s="18">
        <v>0.39200000000000002</v>
      </c>
      <c r="O76" s="82">
        <f>1-(Table17[[#This Row],[NbP]]+Table17[[#This Row],[NbP2]])</f>
        <v>0.47084706557562372</v>
      </c>
    </row>
    <row r="77" spans="1:15" ht="20">
      <c r="A77" s="13" t="s">
        <v>69</v>
      </c>
      <c r="B77" s="14" t="s">
        <v>112</v>
      </c>
      <c r="C77" s="13">
        <v>2019</v>
      </c>
      <c r="D77" s="13" t="s">
        <v>295</v>
      </c>
      <c r="E77" s="13">
        <v>3.5</v>
      </c>
      <c r="F77" s="29">
        <f t="shared" si="2"/>
        <v>0.12556053811659193</v>
      </c>
      <c r="H77" s="16" t="s">
        <v>211</v>
      </c>
      <c r="I77" s="17">
        <v>32239</v>
      </c>
      <c r="J77" s="80">
        <f>Table17[[#This Row],[BIDEN VOTES]]/C238</f>
        <v>0.20756903622913139</v>
      </c>
      <c r="K77" s="18">
        <v>0.43099999999999999</v>
      </c>
      <c r="L77" s="17">
        <v>41540</v>
      </c>
      <c r="M77" s="80">
        <f>Table17[[#This Row],[TRUMP VOTES]]/C238</f>
        <v>0.26745301544583017</v>
      </c>
      <c r="N77" s="18">
        <v>0.55500000000000005</v>
      </c>
      <c r="O77" s="82">
        <f>1-(Table17[[#This Row],[NbP]]+Table17[[#This Row],[NbP2]])</f>
        <v>0.52497794832503841</v>
      </c>
    </row>
    <row r="78" spans="1:15" ht="20">
      <c r="A78" s="11" t="s">
        <v>69</v>
      </c>
      <c r="B78" s="12" t="s">
        <v>1260</v>
      </c>
      <c r="C78" s="11">
        <v>2019</v>
      </c>
      <c r="D78" s="11" t="s">
        <v>295</v>
      </c>
      <c r="E78" s="11">
        <v>11.7</v>
      </c>
      <c r="F78" s="29">
        <f t="shared" si="2"/>
        <v>0.49327354260089684</v>
      </c>
      <c r="H78" s="16" t="s">
        <v>1353</v>
      </c>
      <c r="I78" s="17">
        <v>1008</v>
      </c>
      <c r="J78" s="80">
        <f>Table17[[#This Row],[BIDEN VOTES]]/C239</f>
        <v>0.1074741443650709</v>
      </c>
      <c r="K78" s="18">
        <v>0.24199999999999999</v>
      </c>
      <c r="L78" s="17">
        <v>3134</v>
      </c>
      <c r="M78" s="80">
        <f>Table17[[#This Row],[TRUMP VOTES]]/C239</f>
        <v>0.33415076234140101</v>
      </c>
      <c r="N78" s="18">
        <v>0.752</v>
      </c>
      <c r="O78" s="82">
        <f>1-(Table17[[#This Row],[NbP]]+Table17[[#This Row],[NbP2]])</f>
        <v>0.55837509329352808</v>
      </c>
    </row>
    <row r="79" spans="1:15" ht="20">
      <c r="A79" s="13" t="s">
        <v>69</v>
      </c>
      <c r="B79" s="14" t="s">
        <v>114</v>
      </c>
      <c r="C79" s="13">
        <v>2019</v>
      </c>
      <c r="D79" s="13" t="s">
        <v>295</v>
      </c>
      <c r="E79" s="13">
        <v>4</v>
      </c>
      <c r="F79" s="29">
        <f t="shared" si="2"/>
        <v>0.14798206278026904</v>
      </c>
      <c r="H79" s="16" t="s">
        <v>213</v>
      </c>
      <c r="I79" s="17">
        <v>7642</v>
      </c>
      <c r="J79" s="80">
        <f>Table17[[#This Row],[BIDEN VOTES]]/C240</f>
        <v>0.10844792597953652</v>
      </c>
      <c r="K79" s="18">
        <v>0.20300000000000001</v>
      </c>
      <c r="L79" s="17">
        <v>29502</v>
      </c>
      <c r="M79" s="80">
        <f>Table17[[#This Row],[TRUMP VOTES]]/C240</f>
        <v>0.41866405551534763</v>
      </c>
      <c r="N79" s="18">
        <v>0.78300000000000003</v>
      </c>
      <c r="O79" s="82">
        <f>1-(Table17[[#This Row],[NbP]]+Table17[[#This Row],[NbP2]])</f>
        <v>0.47288801850511586</v>
      </c>
    </row>
    <row r="80" spans="1:15" ht="20">
      <c r="A80" s="11" t="s">
        <v>69</v>
      </c>
      <c r="B80" s="12" t="s">
        <v>667</v>
      </c>
      <c r="C80" s="11">
        <v>2019</v>
      </c>
      <c r="D80" s="11" t="s">
        <v>295</v>
      </c>
      <c r="E80" s="11">
        <v>13.1</v>
      </c>
      <c r="F80" s="29">
        <f t="shared" si="2"/>
        <v>0.55605381165919288</v>
      </c>
      <c r="H80" s="16" t="s">
        <v>440</v>
      </c>
      <c r="I80" s="17">
        <v>1761</v>
      </c>
      <c r="J80" s="80">
        <f>Table17[[#This Row],[BIDEN VOTES]]/C241</f>
        <v>0.12512434275969875</v>
      </c>
      <c r="K80" s="18">
        <v>0.23</v>
      </c>
      <c r="L80" s="17">
        <v>5822</v>
      </c>
      <c r="M80" s="80">
        <f>Table17[[#This Row],[TRUMP VOTES]]/C241</f>
        <v>0.41367059826630664</v>
      </c>
      <c r="N80" s="18">
        <v>0.76200000000000001</v>
      </c>
      <c r="O80" s="82">
        <f>1-(Table17[[#This Row],[NbP]]+Table17[[#This Row],[NbP2]])</f>
        <v>0.46120505897399466</v>
      </c>
    </row>
    <row r="81" spans="1:15" ht="20">
      <c r="A81" s="13" t="s">
        <v>69</v>
      </c>
      <c r="B81" s="14" t="s">
        <v>668</v>
      </c>
      <c r="C81" s="13">
        <v>2019</v>
      </c>
      <c r="D81" s="13" t="s">
        <v>295</v>
      </c>
      <c r="E81" s="13">
        <v>2.8</v>
      </c>
      <c r="F81" s="29">
        <f t="shared" si="2"/>
        <v>9.4170403587443927E-2</v>
      </c>
      <c r="H81" s="16" t="s">
        <v>441</v>
      </c>
      <c r="I81" s="17">
        <v>1028</v>
      </c>
      <c r="J81" s="80">
        <f>Table17[[#This Row],[BIDEN VOTES]]/C242</f>
        <v>6.8246697205072038E-2</v>
      </c>
      <c r="K81" s="18">
        <v>0.17799999999999999</v>
      </c>
      <c r="L81" s="17">
        <v>4695</v>
      </c>
      <c r="M81" s="80">
        <f>Table17[[#This Row],[TRUMP VOTES]]/C242</f>
        <v>0.31169089822744472</v>
      </c>
      <c r="N81" s="18">
        <v>0.81399999999999995</v>
      </c>
      <c r="O81" s="82">
        <f>1-(Table17[[#This Row],[NbP]]+Table17[[#This Row],[NbP2]])</f>
        <v>0.62006240456748318</v>
      </c>
    </row>
    <row r="82" spans="1:15" ht="20">
      <c r="A82" s="11" t="s">
        <v>69</v>
      </c>
      <c r="B82" s="12" t="s">
        <v>115</v>
      </c>
      <c r="C82" s="11">
        <v>2019</v>
      </c>
      <c r="D82" s="11" t="s">
        <v>295</v>
      </c>
      <c r="E82" s="11">
        <v>2.2000000000000002</v>
      </c>
      <c r="F82" s="29">
        <f t="shared" si="2"/>
        <v>6.7264573991031404E-2</v>
      </c>
      <c r="H82" s="16" t="s">
        <v>214</v>
      </c>
      <c r="I82" s="17">
        <v>4058</v>
      </c>
      <c r="J82" s="80">
        <f>Table17[[#This Row],[BIDEN VOTES]]/C243</f>
        <v>0.26199238169023176</v>
      </c>
      <c r="K82" s="18">
        <v>0.53100000000000003</v>
      </c>
      <c r="L82" s="17">
        <v>3537</v>
      </c>
      <c r="M82" s="80">
        <f>Table17[[#This Row],[TRUMP VOTES]]/C243</f>
        <v>0.2283556072051133</v>
      </c>
      <c r="N82" s="18">
        <v>0.46300000000000002</v>
      </c>
      <c r="O82" s="82">
        <f>1-(Table17[[#This Row],[NbP]]+Table17[[#This Row],[NbP2]])</f>
        <v>0.50965201110465497</v>
      </c>
    </row>
    <row r="83" spans="1:15" ht="20">
      <c r="A83" s="13" t="s">
        <v>69</v>
      </c>
      <c r="B83" s="14" t="s">
        <v>1261</v>
      </c>
      <c r="C83" s="13">
        <v>2019</v>
      </c>
      <c r="D83" s="13" t="s">
        <v>295</v>
      </c>
      <c r="E83" s="13">
        <v>7.5</v>
      </c>
      <c r="F83" s="29">
        <f t="shared" si="2"/>
        <v>0.30493273542600896</v>
      </c>
      <c r="H83" s="16" t="s">
        <v>1354</v>
      </c>
      <c r="I83" s="17">
        <v>1266</v>
      </c>
      <c r="J83" s="80">
        <f>Table17[[#This Row],[BIDEN VOTES]]/C244</f>
        <v>0.14407647661317857</v>
      </c>
      <c r="K83" s="18">
        <v>0.36599999999999999</v>
      </c>
      <c r="L83" s="17">
        <v>2161</v>
      </c>
      <c r="M83" s="80">
        <f>Table17[[#This Row],[TRUMP VOTES]]/C244</f>
        <v>0.2459314897006942</v>
      </c>
      <c r="N83" s="18">
        <v>0.625</v>
      </c>
      <c r="O83" s="82">
        <f>1-(Table17[[#This Row],[NbP]]+Table17[[#This Row],[NbP2]])</f>
        <v>0.6099920336861272</v>
      </c>
    </row>
    <row r="84" spans="1:15" ht="20">
      <c r="A84" s="11" t="s">
        <v>69</v>
      </c>
      <c r="B84" s="12" t="s">
        <v>116</v>
      </c>
      <c r="C84" s="11">
        <v>2019</v>
      </c>
      <c r="D84" s="11" t="s">
        <v>295</v>
      </c>
      <c r="E84" s="11">
        <v>6</v>
      </c>
      <c r="F84" s="29">
        <f t="shared" si="2"/>
        <v>0.23766816143497757</v>
      </c>
      <c r="H84" s="16" t="s">
        <v>215</v>
      </c>
      <c r="I84" s="17">
        <v>1222</v>
      </c>
      <c r="J84" s="80">
        <f>Table17[[#This Row],[BIDEN VOTES]]/C245</f>
        <v>0.12575897910877842</v>
      </c>
      <c r="K84" s="18">
        <v>0.29799999999999999</v>
      </c>
      <c r="L84" s="17">
        <v>2850</v>
      </c>
      <c r="M84" s="80">
        <f>Table17[[#This Row],[TRUMP VOTES]]/C245</f>
        <v>0.29330040135844399</v>
      </c>
      <c r="N84" s="18">
        <v>0.69499999999999995</v>
      </c>
      <c r="O84" s="82">
        <f>1-(Table17[[#This Row],[NbP]]+Table17[[#This Row],[NbP2]])</f>
        <v>0.58094061953277754</v>
      </c>
    </row>
    <row r="85" spans="1:15" ht="20">
      <c r="A85" s="13" t="s">
        <v>69</v>
      </c>
      <c r="B85" s="14" t="s">
        <v>671</v>
      </c>
      <c r="C85" s="13">
        <v>2019</v>
      </c>
      <c r="D85" s="13" t="s">
        <v>295</v>
      </c>
      <c r="E85" s="13">
        <v>10</v>
      </c>
      <c r="F85" s="29">
        <f t="shared" si="2"/>
        <v>0.41704035874439466</v>
      </c>
      <c r="H85" s="16" t="s">
        <v>444</v>
      </c>
      <c r="I85" s="17">
        <v>4882</v>
      </c>
      <c r="J85" s="80">
        <f>Table17[[#This Row],[BIDEN VOTES]]/C246</f>
        <v>0.17056809447278318</v>
      </c>
      <c r="K85" s="18">
        <v>0.32700000000000001</v>
      </c>
      <c r="L85" s="17">
        <v>9940</v>
      </c>
      <c r="M85" s="80">
        <f>Table17[[#This Row],[TRUMP VOTES]]/C246</f>
        <v>0.34728530501013205</v>
      </c>
      <c r="N85" s="18">
        <v>0.66600000000000004</v>
      </c>
      <c r="O85" s="82">
        <f>1-(Table17[[#This Row],[NbP]]+Table17[[#This Row],[NbP2]])</f>
        <v>0.4821466005170848</v>
      </c>
    </row>
    <row r="86" spans="1:15" ht="20">
      <c r="A86" s="11" t="s">
        <v>69</v>
      </c>
      <c r="B86" s="12" t="s">
        <v>682</v>
      </c>
      <c r="C86" s="11">
        <v>2019</v>
      </c>
      <c r="D86" s="11" t="s">
        <v>295</v>
      </c>
      <c r="E86" s="11">
        <v>10.7</v>
      </c>
      <c r="F86" s="29">
        <f t="shared" si="2"/>
        <v>0.44843049327354256</v>
      </c>
      <c r="H86" s="16" t="s">
        <v>455</v>
      </c>
      <c r="I86" s="17">
        <v>2620</v>
      </c>
      <c r="J86" s="80">
        <f>Table17[[#This Row],[BIDEN VOTES]]/C247</f>
        <v>0.13911011999575237</v>
      </c>
      <c r="K86" s="18">
        <v>0.28999999999999998</v>
      </c>
      <c r="L86" s="17">
        <v>6331</v>
      </c>
      <c r="M86" s="80">
        <f>Table17[[#This Row],[TRUMP VOTES]]/C247</f>
        <v>0.33614739301263674</v>
      </c>
      <c r="N86" s="18">
        <v>0.7</v>
      </c>
      <c r="O86" s="82">
        <f>1-(Table17[[#This Row],[NbP]]+Table17[[#This Row],[NbP2]])</f>
        <v>0.52474248699161086</v>
      </c>
    </row>
    <row r="87" spans="1:15" ht="20">
      <c r="A87" s="13" t="s">
        <v>69</v>
      </c>
      <c r="B87" s="14" t="s">
        <v>1262</v>
      </c>
      <c r="C87" s="13">
        <v>2019</v>
      </c>
      <c r="D87" s="13" t="s">
        <v>295</v>
      </c>
      <c r="E87" s="13">
        <v>8</v>
      </c>
      <c r="F87" s="29">
        <f t="shared" si="2"/>
        <v>0.3273542600896861</v>
      </c>
      <c r="H87" s="16" t="s">
        <v>1355</v>
      </c>
      <c r="I87" s="17">
        <v>1019</v>
      </c>
      <c r="J87" s="80">
        <f>Table17[[#This Row],[BIDEN VOTES]]/C248</f>
        <v>9.6734383899753182E-2</v>
      </c>
      <c r="K87" s="18">
        <v>0.28499999999999998</v>
      </c>
      <c r="L87" s="17">
        <v>2509</v>
      </c>
      <c r="M87" s="80">
        <f>Table17[[#This Row],[TRUMP VOTES]]/C248</f>
        <v>0.23818112777672298</v>
      </c>
      <c r="N87" s="18">
        <v>0.70199999999999996</v>
      </c>
      <c r="O87" s="82">
        <f>1-(Table17[[#This Row],[NbP]]+Table17[[#This Row],[NbP2]])</f>
        <v>0.66508448832352385</v>
      </c>
    </row>
    <row r="88" spans="1:15" ht="20">
      <c r="A88" s="11" t="s">
        <v>69</v>
      </c>
      <c r="B88" s="12" t="s">
        <v>1263</v>
      </c>
      <c r="C88" s="11">
        <v>2019</v>
      </c>
      <c r="D88" s="11" t="s">
        <v>295</v>
      </c>
      <c r="E88" s="11">
        <v>6.7</v>
      </c>
      <c r="F88" s="29">
        <f t="shared" si="2"/>
        <v>0.26905829596412556</v>
      </c>
      <c r="H88" s="16" t="s">
        <v>1356</v>
      </c>
      <c r="I88" s="17">
        <v>8074</v>
      </c>
      <c r="J88" s="80">
        <f>Table17[[#This Row],[BIDEN VOTES]]/C249</f>
        <v>0.17032317947852502</v>
      </c>
      <c r="K88" s="18">
        <v>0.35499999999999998</v>
      </c>
      <c r="L88" s="17">
        <v>14493</v>
      </c>
      <c r="M88" s="80">
        <f>Table17[[#This Row],[TRUMP VOTES]]/C249</f>
        <v>0.30573369335921019</v>
      </c>
      <c r="N88" s="18">
        <v>0.63800000000000001</v>
      </c>
      <c r="O88" s="82">
        <f>1-(Table17[[#This Row],[NbP]]+Table17[[#This Row],[NbP2]])</f>
        <v>0.52394312716226477</v>
      </c>
    </row>
    <row r="89" spans="1:15" ht="20">
      <c r="A89" s="13" t="s">
        <v>69</v>
      </c>
      <c r="B89" s="14" t="s">
        <v>687</v>
      </c>
      <c r="C89" s="13">
        <v>2019</v>
      </c>
      <c r="D89" s="13" t="s">
        <v>295</v>
      </c>
      <c r="E89" s="13"/>
      <c r="F89" s="29">
        <f t="shared" si="2"/>
        <v>-3.1390134529147982E-2</v>
      </c>
      <c r="H89" s="16" t="s">
        <v>459</v>
      </c>
      <c r="I89" s="17">
        <v>4558</v>
      </c>
      <c r="J89" s="80">
        <f>Table17[[#This Row],[BIDEN VOTES]]/C250</f>
        <v>0.15328737178409282</v>
      </c>
      <c r="K89" s="18">
        <v>0.27300000000000002</v>
      </c>
      <c r="L89" s="17">
        <v>12007</v>
      </c>
      <c r="M89" s="80">
        <f>Table17[[#This Row],[TRUMP VOTES]]/C250</f>
        <v>0.40380023541281318</v>
      </c>
      <c r="N89" s="18">
        <v>0.71799999999999997</v>
      </c>
      <c r="O89" s="82">
        <f>1-(Table17[[#This Row],[NbP]]+Table17[[#This Row],[NbP2]])</f>
        <v>0.44291239280309402</v>
      </c>
    </row>
    <row r="90" spans="1:15" ht="20">
      <c r="A90" s="11" t="s">
        <v>69</v>
      </c>
      <c r="B90" s="12" t="s">
        <v>689</v>
      </c>
      <c r="C90" s="11">
        <v>2019</v>
      </c>
      <c r="D90" s="11" t="s">
        <v>295</v>
      </c>
      <c r="E90" s="11">
        <v>10.1</v>
      </c>
      <c r="F90" s="29">
        <f t="shared" si="2"/>
        <v>0.42152466367713004</v>
      </c>
      <c r="H90" s="16" t="s">
        <v>461</v>
      </c>
      <c r="I90" s="17">
        <v>13104</v>
      </c>
      <c r="J90" s="80">
        <f>Table17[[#This Row],[BIDEN VOTES]]/C251</f>
        <v>0.21122197327487549</v>
      </c>
      <c r="K90" s="18">
        <v>0.61299999999999999</v>
      </c>
      <c r="L90" s="17">
        <v>7959</v>
      </c>
      <c r="M90" s="80">
        <f>Table17[[#This Row],[TRUMP VOTES]]/C251</f>
        <v>0.12829026902432342</v>
      </c>
      <c r="N90" s="18">
        <v>0.372</v>
      </c>
      <c r="O90" s="82">
        <f>1-(Table17[[#This Row],[NbP]]+Table17[[#This Row],[NbP2]])</f>
        <v>0.66048775770080104</v>
      </c>
    </row>
    <row r="91" spans="1:15" ht="20">
      <c r="A91" s="13" t="s">
        <v>69</v>
      </c>
      <c r="B91" s="14" t="s">
        <v>122</v>
      </c>
      <c r="C91" s="13">
        <v>2019</v>
      </c>
      <c r="D91" s="13" t="s">
        <v>295</v>
      </c>
      <c r="E91" s="13"/>
      <c r="F91" s="29">
        <f t="shared" si="2"/>
        <v>-3.1390134529147982E-2</v>
      </c>
      <c r="H91" s="16" t="s">
        <v>221</v>
      </c>
      <c r="I91" s="17">
        <v>1432</v>
      </c>
      <c r="J91" s="80">
        <f>Table17[[#This Row],[BIDEN VOTES]]/C252</f>
        <v>0.18060285029638037</v>
      </c>
      <c r="K91" s="18">
        <v>0.309</v>
      </c>
      <c r="L91" s="17">
        <v>3173</v>
      </c>
      <c r="M91" s="80">
        <f>Table17[[#This Row],[TRUMP VOTES]]/C252</f>
        <v>0.40017656703241267</v>
      </c>
      <c r="N91" s="18">
        <v>0.68400000000000005</v>
      </c>
      <c r="O91" s="82">
        <f>1-(Table17[[#This Row],[NbP]]+Table17[[#This Row],[NbP2]])</f>
        <v>0.41922058267120699</v>
      </c>
    </row>
    <row r="92" spans="1:15" ht="20">
      <c r="A92" s="11" t="s">
        <v>69</v>
      </c>
      <c r="B92" s="12" t="s">
        <v>1264</v>
      </c>
      <c r="C92" s="11">
        <v>2019</v>
      </c>
      <c r="D92" s="11" t="s">
        <v>295</v>
      </c>
      <c r="E92" s="11">
        <v>8.1</v>
      </c>
      <c r="F92" s="29">
        <f t="shared" si="2"/>
        <v>0.33183856502242148</v>
      </c>
      <c r="H92" s="16" t="s">
        <v>1357</v>
      </c>
      <c r="I92" s="17">
        <v>2035</v>
      </c>
      <c r="J92" s="80">
        <f>Table17[[#This Row],[BIDEN VOTES]]/C253</f>
        <v>0.10579122478685797</v>
      </c>
      <c r="K92" s="18">
        <v>0.36</v>
      </c>
      <c r="L92" s="17">
        <v>3527</v>
      </c>
      <c r="M92" s="80">
        <f>Table17[[#This Row],[TRUMP VOTES]]/C253</f>
        <v>0.18335412767727177</v>
      </c>
      <c r="N92" s="18">
        <v>0.623</v>
      </c>
      <c r="O92" s="82">
        <f>1-(Table17[[#This Row],[NbP]]+Table17[[#This Row],[NbP2]])</f>
        <v>0.71085464753587024</v>
      </c>
    </row>
    <row r="93" spans="1:15" ht="20">
      <c r="A93" s="13" t="s">
        <v>69</v>
      </c>
      <c r="B93" s="14" t="s">
        <v>909</v>
      </c>
      <c r="C93" s="13">
        <v>2019</v>
      </c>
      <c r="D93" s="13" t="s">
        <v>295</v>
      </c>
      <c r="E93" s="13">
        <v>5.3</v>
      </c>
      <c r="F93" s="29">
        <f t="shared" si="2"/>
        <v>0.20627802690582958</v>
      </c>
      <c r="H93" s="16" t="s">
        <v>941</v>
      </c>
      <c r="I93" s="17">
        <v>20116</v>
      </c>
      <c r="J93" s="80">
        <f>Table17[[#This Row],[BIDEN VOTES]]/C254</f>
        <v>0.17276443711566869</v>
      </c>
      <c r="K93" s="18">
        <v>0.434</v>
      </c>
      <c r="L93" s="17">
        <v>25692</v>
      </c>
      <c r="M93" s="80">
        <f>Table17[[#This Row],[TRUMP VOTES]]/C254</f>
        <v>0.22065340616304235</v>
      </c>
      <c r="N93" s="18">
        <v>0.55400000000000005</v>
      </c>
      <c r="O93" s="82">
        <f>1-(Table17[[#This Row],[NbP]]+Table17[[#This Row],[NbP2]])</f>
        <v>0.60658215672128901</v>
      </c>
    </row>
    <row r="94" spans="1:15" ht="20">
      <c r="A94" s="11" t="s">
        <v>69</v>
      </c>
      <c r="B94" s="12" t="s">
        <v>1265</v>
      </c>
      <c r="C94" s="11">
        <v>2019</v>
      </c>
      <c r="D94" s="11" t="s">
        <v>295</v>
      </c>
      <c r="E94" s="11">
        <v>9.6999999999999993</v>
      </c>
      <c r="F94" s="29">
        <f t="shared" si="2"/>
        <v>0.40358744394618834</v>
      </c>
      <c r="H94" s="16" t="s">
        <v>1358</v>
      </c>
      <c r="I94" s="17">
        <v>3126</v>
      </c>
      <c r="J94" s="80">
        <f>Table17[[#This Row],[BIDEN VOTES]]/C255</f>
        <v>9.4701445060438066E-2</v>
      </c>
      <c r="K94" s="18">
        <v>0.20100000000000001</v>
      </c>
      <c r="L94" s="17">
        <v>12163</v>
      </c>
      <c r="M94" s="80">
        <f>Table17[[#This Row],[TRUMP VOTES]]/C255</f>
        <v>0.36847526432185163</v>
      </c>
      <c r="N94" s="18">
        <v>0.78300000000000003</v>
      </c>
      <c r="O94" s="82">
        <f>1-(Table17[[#This Row],[NbP]]+Table17[[#This Row],[NbP2]])</f>
        <v>0.53682329061771028</v>
      </c>
    </row>
    <row r="95" spans="1:15" ht="20">
      <c r="A95" s="13" t="s">
        <v>69</v>
      </c>
      <c r="B95" s="14" t="s">
        <v>124</v>
      </c>
      <c r="C95" s="13">
        <v>2019</v>
      </c>
      <c r="D95" s="13" t="s">
        <v>295</v>
      </c>
      <c r="E95" s="13">
        <v>5</v>
      </c>
      <c r="F95" s="29">
        <f t="shared" si="2"/>
        <v>0.19282511210762329</v>
      </c>
      <c r="H95" s="16" t="s">
        <v>225</v>
      </c>
      <c r="I95" s="17">
        <v>2858</v>
      </c>
      <c r="J95" s="80">
        <f>Table17[[#This Row],[BIDEN VOTES]]/C256</f>
        <v>0.21805142290379187</v>
      </c>
      <c r="K95" s="18">
        <v>0.61299999999999999</v>
      </c>
      <c r="L95" s="17">
        <v>1783</v>
      </c>
      <c r="M95" s="80">
        <f>Table17[[#This Row],[TRUMP VOTES]]/C256</f>
        <v>0.13603418020904859</v>
      </c>
      <c r="N95" s="18">
        <v>0.38200000000000001</v>
      </c>
      <c r="O95" s="82">
        <f>1-(Table17[[#This Row],[NbP]]+Table17[[#This Row],[NbP2]])</f>
        <v>0.64591439688715957</v>
      </c>
    </row>
    <row r="96" spans="1:15" ht="20">
      <c r="A96" s="11" t="s">
        <v>69</v>
      </c>
      <c r="B96" s="12" t="s">
        <v>125</v>
      </c>
      <c r="C96" s="11">
        <v>2019</v>
      </c>
      <c r="D96" s="11" t="s">
        <v>295</v>
      </c>
      <c r="E96" s="11">
        <v>4.7</v>
      </c>
      <c r="F96" s="29">
        <f t="shared" si="2"/>
        <v>0.17937219730941703</v>
      </c>
      <c r="H96" s="16" t="s">
        <v>226</v>
      </c>
      <c r="I96" s="17">
        <v>3411</v>
      </c>
      <c r="J96" s="80">
        <f>Table17[[#This Row],[BIDEN VOTES]]/C257</f>
        <v>0.11514312719416689</v>
      </c>
      <c r="K96" s="18">
        <v>0.22800000000000001</v>
      </c>
      <c r="L96" s="17">
        <v>11326</v>
      </c>
      <c r="M96" s="80">
        <f>Table17[[#This Row],[TRUMP VOTES]]/C257</f>
        <v>0.3823251417769376</v>
      </c>
      <c r="N96" s="18">
        <v>0.75800000000000001</v>
      </c>
      <c r="O96" s="82">
        <f>1-(Table17[[#This Row],[NbP]]+Table17[[#This Row],[NbP2]])</f>
        <v>0.50253173102889548</v>
      </c>
    </row>
    <row r="97" spans="1:15" ht="20">
      <c r="A97" s="13" t="s">
        <v>69</v>
      </c>
      <c r="B97" s="14" t="s">
        <v>126</v>
      </c>
      <c r="C97" s="13">
        <v>2019</v>
      </c>
      <c r="D97" s="13" t="s">
        <v>295</v>
      </c>
      <c r="E97" s="13">
        <v>4.0999999999999996</v>
      </c>
      <c r="F97" s="29">
        <f t="shared" si="2"/>
        <v>0.15246636771300445</v>
      </c>
      <c r="H97" s="16" t="s">
        <v>227</v>
      </c>
      <c r="I97" s="17">
        <v>1312</v>
      </c>
      <c r="J97" s="80">
        <f>Table17[[#This Row],[BIDEN VOTES]]/C258</f>
        <v>0.1552662721893491</v>
      </c>
      <c r="K97" s="18">
        <v>0.36199999999999999</v>
      </c>
      <c r="L97" s="17">
        <v>2275</v>
      </c>
      <c r="M97" s="80">
        <f>Table17[[#This Row],[TRUMP VOTES]]/C258</f>
        <v>0.26923076923076922</v>
      </c>
      <c r="N97" s="18">
        <v>0.628</v>
      </c>
      <c r="O97" s="82">
        <f>1-(Table17[[#This Row],[NbP]]+Table17[[#This Row],[NbP2]])</f>
        <v>0.57550295857988165</v>
      </c>
    </row>
    <row r="98" spans="1:15" ht="20">
      <c r="A98" s="11" t="s">
        <v>69</v>
      </c>
      <c r="B98" s="12" t="s">
        <v>1266</v>
      </c>
      <c r="C98" s="11">
        <v>2019</v>
      </c>
      <c r="D98" s="11" t="s">
        <v>295</v>
      </c>
      <c r="E98" s="11">
        <v>8.5</v>
      </c>
      <c r="F98" s="29">
        <f t="shared" ref="F98:F129" si="3">(E98-MIN(E:E))/(MAX(E:E)-MIN(E:E))</f>
        <v>0.34977578475336318</v>
      </c>
      <c r="H98" s="16" t="s">
        <v>1359</v>
      </c>
      <c r="I98" s="17">
        <v>4168</v>
      </c>
      <c r="J98" s="80">
        <f>Table17[[#This Row],[BIDEN VOTES]]/C259</f>
        <v>0.19472995701737994</v>
      </c>
      <c r="K98" s="18">
        <v>0.39900000000000002</v>
      </c>
      <c r="L98" s="17">
        <v>6169</v>
      </c>
      <c r="M98" s="80">
        <f>Table17[[#This Row],[TRUMP VOTES]]/C259</f>
        <v>0.28821715567183703</v>
      </c>
      <c r="N98" s="18">
        <v>0.59</v>
      </c>
      <c r="O98" s="82">
        <f>1-(Table17[[#This Row],[NbP]]+Table17[[#This Row],[NbP2]])</f>
        <v>0.51705288731078303</v>
      </c>
    </row>
    <row r="99" spans="1:15" ht="20">
      <c r="A99" s="13" t="s">
        <v>69</v>
      </c>
      <c r="B99" s="14" t="s">
        <v>1267</v>
      </c>
      <c r="C99" s="13">
        <v>2019</v>
      </c>
      <c r="D99" s="13" t="s">
        <v>295</v>
      </c>
      <c r="E99" s="13">
        <v>4.4000000000000004</v>
      </c>
      <c r="F99" s="29">
        <f t="shared" si="3"/>
        <v>0.16591928251121077</v>
      </c>
      <c r="H99" s="16" t="s">
        <v>1360</v>
      </c>
      <c r="I99" s="17">
        <v>2612</v>
      </c>
      <c r="J99" s="80">
        <f>Table17[[#This Row],[BIDEN VOTES]]/C260</f>
        <v>0.18372371105015123</v>
      </c>
      <c r="K99" s="18">
        <v>0.39</v>
      </c>
      <c r="L99" s="17">
        <v>4016</v>
      </c>
      <c r="M99" s="80">
        <f>Table17[[#This Row],[TRUMP VOTES]]/C260</f>
        <v>0.28247872265597523</v>
      </c>
      <c r="N99" s="18">
        <v>0.6</v>
      </c>
      <c r="O99" s="82">
        <f>1-(Table17[[#This Row],[NbP]]+Table17[[#This Row],[NbP2]])</f>
        <v>0.53379756629387354</v>
      </c>
    </row>
    <row r="100" spans="1:15" ht="20">
      <c r="A100" s="11" t="s">
        <v>69</v>
      </c>
      <c r="B100" s="12" t="s">
        <v>1268</v>
      </c>
      <c r="C100" s="11">
        <v>2019</v>
      </c>
      <c r="D100" s="11" t="s">
        <v>295</v>
      </c>
      <c r="E100" s="11">
        <v>8</v>
      </c>
      <c r="F100" s="29">
        <f t="shared" si="3"/>
        <v>0.3273542600896861</v>
      </c>
      <c r="H100" s="16" t="s">
        <v>1361</v>
      </c>
      <c r="I100" s="17">
        <v>4287</v>
      </c>
      <c r="J100" s="80">
        <f>Table17[[#This Row],[BIDEN VOTES]]/C261</f>
        <v>0.20336812144212524</v>
      </c>
      <c r="K100" s="18">
        <v>0.39400000000000002</v>
      </c>
      <c r="L100" s="17">
        <v>6524</v>
      </c>
      <c r="M100" s="80">
        <f>Table17[[#This Row],[TRUMP VOTES]]/C261</f>
        <v>0.30948766603415562</v>
      </c>
      <c r="N100" s="18">
        <v>0.6</v>
      </c>
      <c r="O100" s="82">
        <f>1-(Table17[[#This Row],[NbP]]+Table17[[#This Row],[NbP2]])</f>
        <v>0.48714421252371909</v>
      </c>
    </row>
    <row r="101" spans="1:15" ht="20">
      <c r="A101" s="13" t="s">
        <v>69</v>
      </c>
      <c r="B101" s="14" t="s">
        <v>1269</v>
      </c>
      <c r="C101" s="13">
        <v>2019</v>
      </c>
      <c r="D101" s="13" t="s">
        <v>295</v>
      </c>
      <c r="E101" s="13"/>
      <c r="F101" s="29">
        <f t="shared" si="3"/>
        <v>-3.1390134529147982E-2</v>
      </c>
      <c r="H101" s="16" t="s">
        <v>1362</v>
      </c>
      <c r="I101" s="19">
        <v>748</v>
      </c>
      <c r="J101" s="80">
        <f>Table17[[#This Row],[BIDEN VOTES]]/C262</f>
        <v>0.13065502183406114</v>
      </c>
      <c r="K101" s="18">
        <v>0.26400000000000001</v>
      </c>
      <c r="L101" s="17">
        <v>2066</v>
      </c>
      <c r="M101" s="80">
        <f>Table17[[#This Row],[TRUMP VOTES]]/C262</f>
        <v>0.36087336244541485</v>
      </c>
      <c r="N101" s="18">
        <v>0.72899999999999998</v>
      </c>
      <c r="O101" s="82">
        <f>1-(Table17[[#This Row],[NbP]]+Table17[[#This Row],[NbP2]])</f>
        <v>0.50847161572052402</v>
      </c>
    </row>
    <row r="102" spans="1:15" ht="20">
      <c r="A102" s="11" t="s">
        <v>69</v>
      </c>
      <c r="B102" s="12" t="s">
        <v>709</v>
      </c>
      <c r="C102" s="11">
        <v>2019</v>
      </c>
      <c r="D102" s="11" t="s">
        <v>295</v>
      </c>
      <c r="E102" s="11">
        <v>1.8</v>
      </c>
      <c r="F102" s="29">
        <f t="shared" si="3"/>
        <v>4.932735426008969E-2</v>
      </c>
      <c r="H102" s="16" t="s">
        <v>481</v>
      </c>
      <c r="I102" s="17">
        <v>3993</v>
      </c>
      <c r="J102" s="80">
        <f>Table17[[#This Row],[BIDEN VOTES]]/C263</f>
        <v>0.18090793765857194</v>
      </c>
      <c r="K102" s="18">
        <v>0.44600000000000001</v>
      </c>
      <c r="L102" s="17">
        <v>4935</v>
      </c>
      <c r="M102" s="80">
        <f>Table17[[#This Row],[TRUMP VOTES]]/C263</f>
        <v>0.22358644436389996</v>
      </c>
      <c r="N102" s="18">
        <v>0.55100000000000005</v>
      </c>
      <c r="O102" s="82">
        <f>1-(Table17[[#This Row],[NbP]]+Table17[[#This Row],[NbP2]])</f>
        <v>0.5955056179775281</v>
      </c>
    </row>
    <row r="103" spans="1:15" ht="20">
      <c r="A103" s="13" t="s">
        <v>69</v>
      </c>
      <c r="B103" s="14" t="s">
        <v>132</v>
      </c>
      <c r="C103" s="13">
        <v>2019</v>
      </c>
      <c r="D103" s="13" t="s">
        <v>295</v>
      </c>
      <c r="E103" s="13">
        <v>9.3000000000000007</v>
      </c>
      <c r="F103" s="29">
        <f t="shared" si="3"/>
        <v>0.3856502242152467</v>
      </c>
      <c r="H103" s="16" t="s">
        <v>231</v>
      </c>
      <c r="I103" s="17">
        <v>4385</v>
      </c>
      <c r="J103" s="80">
        <f>Table17[[#This Row],[BIDEN VOTES]]/C264</f>
        <v>0.15971589874339828</v>
      </c>
      <c r="K103" s="18">
        <v>0.28100000000000003</v>
      </c>
      <c r="L103" s="17">
        <v>11057</v>
      </c>
      <c r="M103" s="80">
        <f>Table17[[#This Row],[TRUMP VOTES]]/C264</f>
        <v>0.40273174285193952</v>
      </c>
      <c r="N103" s="18">
        <v>0.70899999999999996</v>
      </c>
      <c r="O103" s="82">
        <f>1-(Table17[[#This Row],[NbP]]+Table17[[#This Row],[NbP2]])</f>
        <v>0.43755235840466222</v>
      </c>
    </row>
    <row r="104" spans="1:15" ht="20">
      <c r="A104" s="11" t="s">
        <v>69</v>
      </c>
      <c r="B104" s="12" t="s">
        <v>133</v>
      </c>
      <c r="C104" s="11">
        <v>2019</v>
      </c>
      <c r="D104" s="11" t="s">
        <v>295</v>
      </c>
      <c r="E104" s="11">
        <v>5.4</v>
      </c>
      <c r="F104" s="29">
        <f t="shared" si="3"/>
        <v>0.21076233183856502</v>
      </c>
      <c r="H104" s="16" t="s">
        <v>232</v>
      </c>
      <c r="I104" s="19">
        <v>980</v>
      </c>
      <c r="J104" s="80">
        <f>Table17[[#This Row],[BIDEN VOTES]]/C265</f>
        <v>0.10806042562575807</v>
      </c>
      <c r="K104" s="18">
        <v>0.247</v>
      </c>
      <c r="L104" s="17">
        <v>2960</v>
      </c>
      <c r="M104" s="80">
        <f>Table17[[#This Row],[TRUMP VOTES]]/C265</f>
        <v>0.32638659168596318</v>
      </c>
      <c r="N104" s="18">
        <v>0.746</v>
      </c>
      <c r="O104" s="82">
        <f>1-(Table17[[#This Row],[NbP]]+Table17[[#This Row],[NbP2]])</f>
        <v>0.5655529826882788</v>
      </c>
    </row>
    <row r="105" spans="1:15" ht="20">
      <c r="A105" s="13" t="s">
        <v>69</v>
      </c>
      <c r="B105" s="14" t="s">
        <v>135</v>
      </c>
      <c r="C105" s="13">
        <v>2019</v>
      </c>
      <c r="D105" s="13" t="s">
        <v>295</v>
      </c>
      <c r="E105" s="13">
        <v>9.6</v>
      </c>
      <c r="F105" s="29">
        <f t="shared" si="3"/>
        <v>0.3991031390134529</v>
      </c>
      <c r="H105" s="16" t="s">
        <v>234</v>
      </c>
      <c r="I105" s="17">
        <v>3353</v>
      </c>
      <c r="J105" s="80">
        <f>Table17[[#This Row],[BIDEN VOTES]]/C266</f>
        <v>0.17804800339847068</v>
      </c>
      <c r="K105" s="18">
        <v>0.28599999999999998</v>
      </c>
      <c r="L105" s="17">
        <v>8231</v>
      </c>
      <c r="M105" s="80">
        <f>Table17[[#This Row],[TRUMP VOTES]]/C266</f>
        <v>0.4370751911639762</v>
      </c>
      <c r="N105" s="18">
        <v>0.70299999999999996</v>
      </c>
      <c r="O105" s="82">
        <f>1-(Table17[[#This Row],[NbP]]+Table17[[#This Row],[NbP2]])</f>
        <v>0.38487680543755309</v>
      </c>
    </row>
    <row r="106" spans="1:15" ht="20">
      <c r="A106" s="11" t="s">
        <v>69</v>
      </c>
      <c r="B106" s="12" t="s">
        <v>1270</v>
      </c>
      <c r="C106" s="11">
        <v>2019</v>
      </c>
      <c r="D106" s="11" t="s">
        <v>295</v>
      </c>
      <c r="E106" s="11">
        <v>5.5</v>
      </c>
      <c r="F106" s="29">
        <f t="shared" si="3"/>
        <v>0.21524663677130043</v>
      </c>
      <c r="H106" s="16" t="s">
        <v>1363</v>
      </c>
      <c r="I106" s="17">
        <v>2301</v>
      </c>
      <c r="J106" s="80">
        <f>Table17[[#This Row],[BIDEN VOTES]]/C267</f>
        <v>5.7830053532383324E-2</v>
      </c>
      <c r="K106" s="18">
        <v>0.15</v>
      </c>
      <c r="L106" s="17">
        <v>12944</v>
      </c>
      <c r="M106" s="80">
        <f>Table17[[#This Row],[TRUMP VOTES]]/C267</f>
        <v>0.32531604212219456</v>
      </c>
      <c r="N106" s="18">
        <v>0.84099999999999997</v>
      </c>
      <c r="O106" s="82">
        <f>1-(Table17[[#This Row],[NbP]]+Table17[[#This Row],[NbP2]])</f>
        <v>0.61685390434542209</v>
      </c>
    </row>
    <row r="107" spans="1:15" ht="20">
      <c r="A107" s="13" t="s">
        <v>69</v>
      </c>
      <c r="B107" s="14" t="s">
        <v>1271</v>
      </c>
      <c r="C107" s="13">
        <v>2019</v>
      </c>
      <c r="D107" s="13" t="s">
        <v>295</v>
      </c>
      <c r="E107" s="13">
        <v>4.9000000000000004</v>
      </c>
      <c r="F107" s="29">
        <f t="shared" si="3"/>
        <v>0.18834080717488788</v>
      </c>
      <c r="H107" s="16" t="s">
        <v>1364</v>
      </c>
      <c r="I107" s="17">
        <v>49446</v>
      </c>
      <c r="J107" s="80">
        <f>Table17[[#This Row],[BIDEN VOTES]]/C268</f>
        <v>0.25302684501939432</v>
      </c>
      <c r="K107" s="18">
        <v>0.61399999999999999</v>
      </c>
      <c r="L107" s="17">
        <v>30107</v>
      </c>
      <c r="M107" s="80">
        <f>Table17[[#This Row],[TRUMP VOTES]]/C268</f>
        <v>0.15406462045461525</v>
      </c>
      <c r="N107" s="18">
        <v>0.374</v>
      </c>
      <c r="O107" s="82">
        <f>1-(Table17[[#This Row],[NbP]]+Table17[[#This Row],[NbP2]])</f>
        <v>0.59290853452599046</v>
      </c>
    </row>
    <row r="108" spans="1:15" ht="20">
      <c r="A108" s="11" t="s">
        <v>69</v>
      </c>
      <c r="B108" s="12" t="s">
        <v>715</v>
      </c>
      <c r="C108" s="11">
        <v>2019</v>
      </c>
      <c r="D108" s="11" t="s">
        <v>295</v>
      </c>
      <c r="E108" s="11">
        <v>5.7</v>
      </c>
      <c r="F108" s="29">
        <f t="shared" si="3"/>
        <v>0.22421524663677128</v>
      </c>
      <c r="H108" s="16" t="s">
        <v>487</v>
      </c>
      <c r="I108" s="17">
        <v>29789</v>
      </c>
      <c r="J108" s="80">
        <f>Table17[[#This Row],[BIDEN VOTES]]/C269</f>
        <v>0.27121591478126278</v>
      </c>
      <c r="K108" s="18">
        <v>0.54900000000000004</v>
      </c>
      <c r="L108" s="17">
        <v>23869</v>
      </c>
      <c r="M108" s="80">
        <f>Table17[[#This Row],[TRUMP VOTES]]/C269</f>
        <v>0.21731688441753538</v>
      </c>
      <c r="N108" s="18">
        <v>0.44</v>
      </c>
      <c r="O108" s="82">
        <f>1-(Table17[[#This Row],[NbP]]+Table17[[#This Row],[NbP2]])</f>
        <v>0.51146720080120178</v>
      </c>
    </row>
    <row r="109" spans="1:15" ht="20">
      <c r="A109" s="13" t="s">
        <v>69</v>
      </c>
      <c r="B109" s="14" t="s">
        <v>1272</v>
      </c>
      <c r="C109" s="13">
        <v>2019</v>
      </c>
      <c r="D109" s="13" t="s">
        <v>295</v>
      </c>
      <c r="E109" s="13">
        <v>0.7</v>
      </c>
      <c r="F109" s="29">
        <f t="shared" si="3"/>
        <v>0</v>
      </c>
      <c r="H109" s="16" t="s">
        <v>1365</v>
      </c>
      <c r="I109" s="17">
        <v>8162</v>
      </c>
      <c r="J109" s="80">
        <f>Table17[[#This Row],[BIDEN VOTES]]/C270</f>
        <v>0.20824616012654998</v>
      </c>
      <c r="K109" s="18">
        <v>0.32400000000000001</v>
      </c>
      <c r="L109" s="17">
        <v>16595</v>
      </c>
      <c r="M109" s="80">
        <f>Table17[[#This Row],[TRUMP VOTES]]/C270</f>
        <v>0.42340664387406235</v>
      </c>
      <c r="N109" s="18">
        <v>0.65900000000000003</v>
      </c>
      <c r="O109" s="82">
        <f>1-(Table17[[#This Row],[NbP]]+Table17[[#This Row],[NbP2]])</f>
        <v>0.3683471959993877</v>
      </c>
    </row>
    <row r="110" spans="1:15" ht="20">
      <c r="A110" s="11" t="s">
        <v>69</v>
      </c>
      <c r="B110" s="12" t="s">
        <v>1273</v>
      </c>
      <c r="C110" s="11">
        <v>2019</v>
      </c>
      <c r="D110" s="11" t="s">
        <v>295</v>
      </c>
      <c r="E110" s="11">
        <v>3.5</v>
      </c>
      <c r="F110" s="29">
        <f t="shared" si="3"/>
        <v>0.12556053811659193</v>
      </c>
      <c r="H110" s="16" t="s">
        <v>1366</v>
      </c>
      <c r="I110" s="17">
        <v>2439</v>
      </c>
      <c r="J110" s="80">
        <f>Table17[[#This Row],[BIDEN VOTES]]/C271</f>
        <v>0.16216755319148937</v>
      </c>
      <c r="K110" s="18">
        <v>0.3</v>
      </c>
      <c r="L110" s="17">
        <v>5592</v>
      </c>
      <c r="M110" s="80">
        <f>Table17[[#This Row],[TRUMP VOTES]]/C271</f>
        <v>0.3718085106382979</v>
      </c>
      <c r="N110" s="18">
        <v>0.68799999999999994</v>
      </c>
      <c r="O110" s="82">
        <f>1-(Table17[[#This Row],[NbP]]+Table17[[#This Row],[NbP2]])</f>
        <v>0.46602393617021276</v>
      </c>
    </row>
    <row r="111" spans="1:15" ht="20">
      <c r="A111" s="13" t="s">
        <v>69</v>
      </c>
      <c r="B111" s="14" t="s">
        <v>1274</v>
      </c>
      <c r="C111" s="13">
        <v>2019</v>
      </c>
      <c r="D111" s="13" t="s">
        <v>295</v>
      </c>
      <c r="E111" s="13">
        <v>3</v>
      </c>
      <c r="F111" s="29">
        <f t="shared" si="3"/>
        <v>0.10313901345291479</v>
      </c>
      <c r="H111" s="16" t="s">
        <v>1367</v>
      </c>
      <c r="I111" s="17">
        <v>29695</v>
      </c>
      <c r="J111" s="80">
        <f>Table17[[#This Row],[BIDEN VOTES]]/C272</f>
        <v>0.18058258331306251</v>
      </c>
      <c r="K111" s="18">
        <v>0.34799999999999998</v>
      </c>
      <c r="L111" s="17">
        <v>54517</v>
      </c>
      <c r="M111" s="80">
        <f>Table17[[#This Row],[TRUMP VOTES]]/C272</f>
        <v>0.33153125760155677</v>
      </c>
      <c r="N111" s="18">
        <v>0.63900000000000001</v>
      </c>
      <c r="O111" s="82">
        <f>1-(Table17[[#This Row],[NbP]]+Table17[[#This Row],[NbP2]])</f>
        <v>0.48788615908538069</v>
      </c>
    </row>
    <row r="112" spans="1:15" ht="20">
      <c r="A112" s="11" t="s">
        <v>69</v>
      </c>
      <c r="B112" s="12" t="s">
        <v>1275</v>
      </c>
      <c r="C112" s="11">
        <v>2019</v>
      </c>
      <c r="D112" s="11" t="s">
        <v>295</v>
      </c>
      <c r="E112" s="11">
        <v>2.2999999999999998</v>
      </c>
      <c r="F112" s="29">
        <f t="shared" si="3"/>
        <v>7.1748878923766801E-2</v>
      </c>
      <c r="H112" s="16" t="s">
        <v>1368</v>
      </c>
      <c r="I112" s="17">
        <v>5922</v>
      </c>
      <c r="J112" s="80">
        <f>Table17[[#This Row],[BIDEN VOTES]]/C273</f>
        <v>0.21532979419678569</v>
      </c>
      <c r="K112" s="18">
        <v>0.47199999999999998</v>
      </c>
      <c r="L112" s="17">
        <v>6506</v>
      </c>
      <c r="M112" s="80">
        <f>Table17[[#This Row],[TRUMP VOTES]]/C273</f>
        <v>0.23656461348265581</v>
      </c>
      <c r="N112" s="18">
        <v>0.51800000000000002</v>
      </c>
      <c r="O112" s="82">
        <f>1-(Table17[[#This Row],[NbP]]+Table17[[#This Row],[NbP2]])</f>
        <v>0.54810559232055844</v>
      </c>
    </row>
    <row r="113" spans="1:15" ht="20">
      <c r="A113" s="13" t="s">
        <v>69</v>
      </c>
      <c r="B113" s="14" t="s">
        <v>912</v>
      </c>
      <c r="C113" s="13">
        <v>2019</v>
      </c>
      <c r="D113" s="13" t="s">
        <v>295</v>
      </c>
      <c r="E113" s="13">
        <v>4.8</v>
      </c>
      <c r="F113" s="29">
        <f t="shared" si="3"/>
        <v>0.18385650224215244</v>
      </c>
      <c r="H113" s="16" t="s">
        <v>944</v>
      </c>
      <c r="I113" s="17">
        <v>2824</v>
      </c>
      <c r="J113" s="80">
        <f>Table17[[#This Row],[BIDEN VOTES]]/C274</f>
        <v>8.8244484719705016E-2</v>
      </c>
      <c r="K113" s="18">
        <v>0.16500000000000001</v>
      </c>
      <c r="L113" s="17">
        <v>14110</v>
      </c>
      <c r="M113" s="80">
        <f>Table17[[#This Row],[TRUMP VOTES]]/C274</f>
        <v>0.44090994312855447</v>
      </c>
      <c r="N113" s="18">
        <v>0.82199999999999995</v>
      </c>
      <c r="O113" s="82">
        <f>1-(Table17[[#This Row],[NbP]]+Table17[[#This Row],[NbP2]])</f>
        <v>0.4708455721517405</v>
      </c>
    </row>
    <row r="114" spans="1:15" ht="20">
      <c r="A114" s="11" t="s">
        <v>69</v>
      </c>
      <c r="B114" s="12" t="s">
        <v>1276</v>
      </c>
      <c r="C114" s="11">
        <v>2019</v>
      </c>
      <c r="D114" s="11" t="s">
        <v>295</v>
      </c>
      <c r="E114" s="11">
        <v>7.6</v>
      </c>
      <c r="F114" s="29">
        <f t="shared" si="3"/>
        <v>0.30941704035874434</v>
      </c>
      <c r="H114" s="16" t="s">
        <v>1369</v>
      </c>
      <c r="I114" s="17">
        <v>1100</v>
      </c>
      <c r="J114" s="80">
        <f>Table17[[#This Row],[BIDEN VOTES]]/C275</f>
        <v>5.688870500620604E-2</v>
      </c>
      <c r="K114" s="18">
        <v>0.122</v>
      </c>
      <c r="L114" s="17">
        <v>7898</v>
      </c>
      <c r="M114" s="80">
        <f>Table17[[#This Row],[TRUMP VOTES]]/C275</f>
        <v>0.40846090194455936</v>
      </c>
      <c r="N114" s="18">
        <v>0.873</v>
      </c>
      <c r="O114" s="82">
        <f>1-(Table17[[#This Row],[NbP]]+Table17[[#This Row],[NbP2]])</f>
        <v>0.53465039304923456</v>
      </c>
    </row>
    <row r="115" spans="1:15" ht="20">
      <c r="A115" s="13" t="s">
        <v>69</v>
      </c>
      <c r="B115" s="14" t="s">
        <v>913</v>
      </c>
      <c r="C115" s="13">
        <v>2019</v>
      </c>
      <c r="D115" s="13" t="s">
        <v>295</v>
      </c>
      <c r="E115" s="13">
        <v>4.8</v>
      </c>
      <c r="F115" s="29">
        <f t="shared" si="3"/>
        <v>0.18385650224215244</v>
      </c>
      <c r="H115" s="16" t="s">
        <v>945</v>
      </c>
      <c r="I115" s="17">
        <v>1505</v>
      </c>
      <c r="J115" s="80">
        <f>Table17[[#This Row],[BIDEN VOTES]]/C276</f>
        <v>8.1066523027201728E-2</v>
      </c>
      <c r="K115" s="18">
        <v>0.14000000000000001</v>
      </c>
      <c r="L115" s="17">
        <v>9127</v>
      </c>
      <c r="M115" s="80">
        <f>Table17[[#This Row],[TRUMP VOTES]]/C276</f>
        <v>0.49162402370051173</v>
      </c>
      <c r="N115" s="18">
        <v>0.85099999999999998</v>
      </c>
      <c r="O115" s="82">
        <f>1-(Table17[[#This Row],[NbP]]+Table17[[#This Row],[NbP2]])</f>
        <v>0.42730945327228653</v>
      </c>
    </row>
    <row r="116" spans="1:15" ht="20">
      <c r="A116" s="11" t="s">
        <v>69</v>
      </c>
      <c r="B116" s="12" t="s">
        <v>140</v>
      </c>
      <c r="C116" s="11">
        <v>2019</v>
      </c>
      <c r="D116" s="11" t="s">
        <v>295</v>
      </c>
      <c r="E116" s="11">
        <v>5.3</v>
      </c>
      <c r="F116" s="29">
        <f t="shared" si="3"/>
        <v>0.20627802690582958</v>
      </c>
      <c r="H116" s="16" t="s">
        <v>239</v>
      </c>
      <c r="I116" s="17">
        <v>3657</v>
      </c>
      <c r="J116" s="80">
        <f>Table17[[#This Row],[BIDEN VOTES]]/C277</f>
        <v>8.6554164398475769E-2</v>
      </c>
      <c r="K116" s="18">
        <v>0.21</v>
      </c>
      <c r="L116" s="17">
        <v>13587</v>
      </c>
      <c r="M116" s="80">
        <f>Table17[[#This Row],[TRUMP VOTES]]/C277</f>
        <v>0.32157818749852074</v>
      </c>
      <c r="N116" s="18">
        <v>0.78100000000000003</v>
      </c>
      <c r="O116" s="82">
        <f>1-(Table17[[#This Row],[NbP]]+Table17[[#This Row],[NbP2]])</f>
        <v>0.59186764810300352</v>
      </c>
    </row>
    <row r="117" spans="1:15" ht="20">
      <c r="A117" s="13" t="s">
        <v>69</v>
      </c>
      <c r="B117" s="14" t="s">
        <v>1277</v>
      </c>
      <c r="C117" s="13">
        <v>2019</v>
      </c>
      <c r="D117" s="13" t="s">
        <v>295</v>
      </c>
      <c r="E117" s="13">
        <v>7</v>
      </c>
      <c r="F117" s="29">
        <f t="shared" si="3"/>
        <v>0.28251121076233182</v>
      </c>
      <c r="H117" s="16" t="s">
        <v>1370</v>
      </c>
      <c r="I117" s="17">
        <v>1230</v>
      </c>
      <c r="J117" s="80">
        <f>Table17[[#This Row],[BIDEN VOTES]]/C278</f>
        <v>0.10996870809119356</v>
      </c>
      <c r="K117" s="18">
        <v>0.30099999999999999</v>
      </c>
      <c r="L117" s="17">
        <v>2815</v>
      </c>
      <c r="M117" s="80">
        <f>Table17[[#This Row],[TRUMP VOTES]]/C278</f>
        <v>0.25167635225748769</v>
      </c>
      <c r="N117" s="18">
        <v>0.69</v>
      </c>
      <c r="O117" s="82">
        <f>1-(Table17[[#This Row],[NbP]]+Table17[[#This Row],[NbP2]])</f>
        <v>0.63835493965131873</v>
      </c>
    </row>
    <row r="118" spans="1:15" ht="20">
      <c r="A118" s="11" t="s">
        <v>69</v>
      </c>
      <c r="B118" s="12" t="s">
        <v>141</v>
      </c>
      <c r="C118" s="11">
        <v>2019</v>
      </c>
      <c r="D118" s="11" t="s">
        <v>295</v>
      </c>
      <c r="E118" s="11">
        <v>9.4</v>
      </c>
      <c r="F118" s="29">
        <f t="shared" si="3"/>
        <v>0.39013452914798208</v>
      </c>
      <c r="H118" s="16" t="s">
        <v>240</v>
      </c>
      <c r="I118" s="17">
        <v>3448</v>
      </c>
      <c r="J118" s="80">
        <f>Table17[[#This Row],[BIDEN VOTES]]/C279</f>
        <v>0.15739979914178764</v>
      </c>
      <c r="K118" s="18">
        <v>0.29099999999999998</v>
      </c>
      <c r="L118" s="17">
        <v>8291</v>
      </c>
      <c r="M118" s="80">
        <f>Table17[[#This Row],[TRUMP VOTES]]/C279</f>
        <v>0.37848078152104447</v>
      </c>
      <c r="N118" s="18">
        <v>0.69899999999999995</v>
      </c>
      <c r="O118" s="82">
        <f>1-(Table17[[#This Row],[NbP]]+Table17[[#This Row],[NbP2]])</f>
        <v>0.46411941933716783</v>
      </c>
    </row>
    <row r="119" spans="1:15" ht="20">
      <c r="A119" s="13" t="s">
        <v>69</v>
      </c>
      <c r="B119" s="14" t="s">
        <v>1278</v>
      </c>
      <c r="C119" s="13">
        <v>2019</v>
      </c>
      <c r="D119" s="13" t="s">
        <v>295</v>
      </c>
      <c r="E119" s="13"/>
      <c r="F119" s="29">
        <f t="shared" si="3"/>
        <v>-3.1390134529147982E-2</v>
      </c>
      <c r="H119" s="16" t="s">
        <v>1371</v>
      </c>
      <c r="I119" s="19">
        <v>497</v>
      </c>
      <c r="J119" s="80">
        <f>Table17[[#This Row],[BIDEN VOTES]]/C280</f>
        <v>0.21703056768558951</v>
      </c>
      <c r="K119" s="18">
        <v>0.44900000000000001</v>
      </c>
      <c r="L119" s="19">
        <v>604</v>
      </c>
      <c r="M119" s="80">
        <f>Table17[[#This Row],[TRUMP VOTES]]/C280</f>
        <v>0.26375545851528387</v>
      </c>
      <c r="N119" s="18">
        <v>0.54600000000000004</v>
      </c>
      <c r="O119" s="82">
        <f>1-(Table17[[#This Row],[NbP]]+Table17[[#This Row],[NbP2]])</f>
        <v>0.51921397379912659</v>
      </c>
    </row>
    <row r="120" spans="1:15" ht="20">
      <c r="A120" s="11" t="s">
        <v>69</v>
      </c>
      <c r="B120" s="12" t="s">
        <v>1279</v>
      </c>
      <c r="C120" s="11">
        <v>2019</v>
      </c>
      <c r="D120" s="11" t="s">
        <v>295</v>
      </c>
      <c r="E120" s="11">
        <v>9.6999999999999993</v>
      </c>
      <c r="F120" s="29">
        <f t="shared" si="3"/>
        <v>0.40358744394618834</v>
      </c>
      <c r="H120" s="16" t="s">
        <v>1372</v>
      </c>
      <c r="I120" s="17">
        <v>1984</v>
      </c>
      <c r="J120" s="80">
        <f>Table17[[#This Row],[BIDEN VOTES]]/C281</f>
        <v>0.11768195029361173</v>
      </c>
      <c r="K120" s="18">
        <v>0.20699999999999999</v>
      </c>
      <c r="L120" s="17">
        <v>7474</v>
      </c>
      <c r="M120" s="80">
        <f>Table17[[#This Row],[TRUMP VOTES]]/C281</f>
        <v>0.44332404057180141</v>
      </c>
      <c r="N120" s="18">
        <v>0.78100000000000003</v>
      </c>
      <c r="O120" s="82">
        <f>1-(Table17[[#This Row],[NbP]]+Table17[[#This Row],[NbP2]])</f>
        <v>0.43899400913458686</v>
      </c>
    </row>
    <row r="121" spans="1:15" ht="20">
      <c r="A121" s="13" t="s">
        <v>69</v>
      </c>
      <c r="B121" s="14" t="s">
        <v>880</v>
      </c>
      <c r="C121" s="13">
        <v>2019</v>
      </c>
      <c r="D121" s="13" t="s">
        <v>295</v>
      </c>
      <c r="E121" s="13">
        <v>12.2</v>
      </c>
      <c r="F121" s="29">
        <f t="shared" si="3"/>
        <v>0.51569506726457393</v>
      </c>
      <c r="H121" s="16" t="s">
        <v>849</v>
      </c>
      <c r="I121" s="17">
        <v>1671</v>
      </c>
      <c r="J121" s="80">
        <f>Table17[[#This Row],[BIDEN VOTES]]/C282</f>
        <v>0.24259581881533102</v>
      </c>
      <c r="K121" s="18">
        <v>0.54400000000000004</v>
      </c>
      <c r="L121" s="17">
        <v>1390</v>
      </c>
      <c r="M121" s="80">
        <f>Table17[[#This Row],[TRUMP VOTES]]/C282</f>
        <v>0.20180023228803717</v>
      </c>
      <c r="N121" s="18">
        <v>0.45200000000000001</v>
      </c>
      <c r="O121" s="82">
        <f>1-(Table17[[#This Row],[NbP]]+Table17[[#This Row],[NbP2]])</f>
        <v>0.55560394889663178</v>
      </c>
    </row>
    <row r="122" spans="1:15" ht="20">
      <c r="A122" s="11" t="s">
        <v>69</v>
      </c>
      <c r="B122" s="12" t="s">
        <v>1280</v>
      </c>
      <c r="C122" s="11">
        <v>2019</v>
      </c>
      <c r="D122" s="11" t="s">
        <v>295</v>
      </c>
      <c r="E122" s="11">
        <v>8.5</v>
      </c>
      <c r="F122" s="29">
        <f t="shared" si="3"/>
        <v>0.34977578475336318</v>
      </c>
      <c r="H122" s="16" t="s">
        <v>1373</v>
      </c>
      <c r="I122" s="17">
        <v>59119</v>
      </c>
      <c r="J122" s="80">
        <f>Table17[[#This Row],[BIDEN VOTES]]/C283</f>
        <v>0.29241064804281375</v>
      </c>
      <c r="K122" s="18">
        <v>0.67900000000000005</v>
      </c>
      <c r="L122" s="17">
        <v>26780</v>
      </c>
      <c r="M122" s="80">
        <f>Table17[[#This Row],[TRUMP VOTES]]/C283</f>
        <v>0.13245753741752317</v>
      </c>
      <c r="N122" s="18">
        <v>0.308</v>
      </c>
      <c r="O122" s="82">
        <f>1-(Table17[[#This Row],[NbP]]+Table17[[#This Row],[NbP2]])</f>
        <v>0.57513181453966311</v>
      </c>
    </row>
    <row r="123" spans="1:15" ht="20">
      <c r="A123" s="13" t="s">
        <v>69</v>
      </c>
      <c r="B123" s="14" t="s">
        <v>1281</v>
      </c>
      <c r="C123" s="13">
        <v>2019</v>
      </c>
      <c r="D123" s="13" t="s">
        <v>295</v>
      </c>
      <c r="E123" s="13">
        <v>3.3</v>
      </c>
      <c r="F123" s="29">
        <f t="shared" si="3"/>
        <v>0.11659192825112105</v>
      </c>
      <c r="H123" s="16" t="s">
        <v>1374</v>
      </c>
      <c r="I123" s="17">
        <v>31237</v>
      </c>
      <c r="J123" s="80">
        <f>Table17[[#This Row],[BIDEN VOTES]]/C284</f>
        <v>0.3464810603959847</v>
      </c>
      <c r="K123" s="18">
        <v>0.69899999999999995</v>
      </c>
      <c r="L123" s="17">
        <v>13014</v>
      </c>
      <c r="M123" s="80">
        <f>Table17[[#This Row],[TRUMP VOTES]]/C284</f>
        <v>0.14435139482003218</v>
      </c>
      <c r="N123" s="18">
        <v>0.29099999999999998</v>
      </c>
      <c r="O123" s="82">
        <f>1-(Table17[[#This Row],[NbP]]+Table17[[#This Row],[NbP2]])</f>
        <v>0.50916754478398318</v>
      </c>
    </row>
    <row r="124" spans="1:15" ht="20">
      <c r="A124" s="11" t="s">
        <v>69</v>
      </c>
      <c r="B124" s="12" t="s">
        <v>1282</v>
      </c>
      <c r="C124" s="11">
        <v>2019</v>
      </c>
      <c r="D124" s="11" t="s">
        <v>295</v>
      </c>
      <c r="E124" s="11">
        <v>6.3</v>
      </c>
      <c r="F124" s="29">
        <f t="shared" si="3"/>
        <v>0.25112107623318386</v>
      </c>
      <c r="H124" s="16" t="s">
        <v>1375</v>
      </c>
      <c r="I124" s="19">
        <v>462</v>
      </c>
      <c r="J124" s="80">
        <f>Table17[[#This Row],[BIDEN VOTES]]/C285</f>
        <v>8.859060402684564E-2</v>
      </c>
      <c r="K124" s="18">
        <v>0.20300000000000001</v>
      </c>
      <c r="L124" s="17">
        <v>1800</v>
      </c>
      <c r="M124" s="80">
        <f>Table17[[#This Row],[TRUMP VOTES]]/C285</f>
        <v>0.34515819750719079</v>
      </c>
      <c r="N124" s="18">
        <v>0.79100000000000004</v>
      </c>
      <c r="O124" s="82">
        <f>1-(Table17[[#This Row],[NbP]]+Table17[[#This Row],[NbP2]])</f>
        <v>0.5662511984659635</v>
      </c>
    </row>
    <row r="125" spans="1:15" ht="20">
      <c r="A125" s="13" t="s">
        <v>69</v>
      </c>
      <c r="B125" s="14" t="s">
        <v>1283</v>
      </c>
      <c r="C125" s="13">
        <v>2019</v>
      </c>
      <c r="D125" s="13" t="s">
        <v>295</v>
      </c>
      <c r="E125" s="13">
        <v>12.8</v>
      </c>
      <c r="F125" s="29">
        <f t="shared" si="3"/>
        <v>0.54260089686098656</v>
      </c>
      <c r="H125" s="16" t="s">
        <v>1376</v>
      </c>
      <c r="I125" s="17">
        <v>2661</v>
      </c>
      <c r="J125" s="80">
        <f>Table17[[#This Row],[BIDEN VOTES]]/C286</f>
        <v>0.19038420261858768</v>
      </c>
      <c r="K125" s="18">
        <v>0.40200000000000002</v>
      </c>
      <c r="L125" s="17">
        <v>3915</v>
      </c>
      <c r="M125" s="80">
        <f>Table17[[#This Row],[TRUMP VOTES]]/C286</f>
        <v>0.28010302640051515</v>
      </c>
      <c r="N125" s="18">
        <v>0.59099999999999997</v>
      </c>
      <c r="O125" s="82">
        <f>1-(Table17[[#This Row],[NbP]]+Table17[[#This Row],[NbP2]])</f>
        <v>0.52951277098089711</v>
      </c>
    </row>
    <row r="126" spans="1:15" ht="20">
      <c r="A126" s="11" t="s">
        <v>69</v>
      </c>
      <c r="B126" s="12" t="s">
        <v>1284</v>
      </c>
      <c r="C126" s="11">
        <v>2019</v>
      </c>
      <c r="D126" s="11" t="s">
        <v>295</v>
      </c>
      <c r="E126" s="11">
        <v>3</v>
      </c>
      <c r="F126" s="29">
        <f t="shared" si="3"/>
        <v>0.10313901345291479</v>
      </c>
      <c r="H126" s="16" t="s">
        <v>1377</v>
      </c>
      <c r="I126" s="17">
        <v>1256</v>
      </c>
      <c r="J126" s="80">
        <f>Table17[[#This Row],[BIDEN VOTES]]/C287</f>
        <v>0.15283523971769286</v>
      </c>
      <c r="K126" s="18">
        <v>0.32300000000000001</v>
      </c>
      <c r="L126" s="17">
        <v>2613</v>
      </c>
      <c r="M126" s="80">
        <f>Table17[[#This Row],[TRUMP VOTES]]/C287</f>
        <v>0.31796057434899</v>
      </c>
      <c r="N126" s="18">
        <v>0.67200000000000004</v>
      </c>
      <c r="O126" s="82">
        <f>1-(Table17[[#This Row],[NbP]]+Table17[[#This Row],[NbP2]])</f>
        <v>0.52920418593331719</v>
      </c>
    </row>
    <row r="127" spans="1:15" ht="20">
      <c r="A127" s="13" t="s">
        <v>69</v>
      </c>
      <c r="B127" s="14" t="s">
        <v>1285</v>
      </c>
      <c r="C127" s="13">
        <v>2019</v>
      </c>
      <c r="D127" s="13" t="s">
        <v>295</v>
      </c>
      <c r="E127" s="13">
        <v>7.8</v>
      </c>
      <c r="F127" s="29">
        <f t="shared" si="3"/>
        <v>0.31838565022421522</v>
      </c>
      <c r="H127" s="16" t="s">
        <v>1378</v>
      </c>
      <c r="I127" s="17">
        <v>11828</v>
      </c>
      <c r="J127" s="80">
        <f>Table17[[#This Row],[BIDEN VOTES]]/C288</f>
        <v>0.17909543782081372</v>
      </c>
      <c r="K127" s="18">
        <v>0.39200000000000002</v>
      </c>
      <c r="L127" s="17">
        <v>18104</v>
      </c>
      <c r="M127" s="80">
        <f>Table17[[#This Row],[TRUMP VOTES]]/C288</f>
        <v>0.27412443408082615</v>
      </c>
      <c r="N127" s="18">
        <v>0.59899999999999998</v>
      </c>
      <c r="O127" s="82">
        <f>1-(Table17[[#This Row],[NbP]]+Table17[[#This Row],[NbP2]])</f>
        <v>0.54678012809836019</v>
      </c>
    </row>
    <row r="128" spans="1:15" ht="20">
      <c r="A128" s="11" t="s">
        <v>69</v>
      </c>
      <c r="B128" s="12" t="s">
        <v>749</v>
      </c>
      <c r="C128" s="11">
        <v>2019</v>
      </c>
      <c r="D128" s="11" t="s">
        <v>295</v>
      </c>
      <c r="E128" s="11">
        <v>3.6</v>
      </c>
      <c r="F128" s="29">
        <f t="shared" si="3"/>
        <v>0.13004484304932737</v>
      </c>
      <c r="H128" s="16" t="s">
        <v>520</v>
      </c>
      <c r="I128" s="17">
        <v>2386</v>
      </c>
      <c r="J128" s="80">
        <f>Table17[[#This Row],[BIDEN VOTES]]/C289</f>
        <v>9.2002776278244769E-2</v>
      </c>
      <c r="K128" s="18">
        <v>0.20100000000000001</v>
      </c>
      <c r="L128" s="17">
        <v>9367</v>
      </c>
      <c r="M128" s="80">
        <f>Table17[[#This Row],[TRUMP VOTES]]/C289</f>
        <v>0.36118608776124006</v>
      </c>
      <c r="N128" s="18">
        <v>0.78800000000000003</v>
      </c>
      <c r="O128" s="82">
        <f>1-(Table17[[#This Row],[NbP]]+Table17[[#This Row],[NbP2]])</f>
        <v>0.54681113596051523</v>
      </c>
    </row>
    <row r="129" spans="1:15" ht="20">
      <c r="A129" s="13" t="s">
        <v>69</v>
      </c>
      <c r="B129" s="14" t="s">
        <v>151</v>
      </c>
      <c r="C129" s="13">
        <v>2019</v>
      </c>
      <c r="D129" s="13" t="s">
        <v>295</v>
      </c>
      <c r="E129" s="13">
        <v>8.1</v>
      </c>
      <c r="F129" s="29">
        <f t="shared" si="3"/>
        <v>0.33183856502242148</v>
      </c>
      <c r="H129" s="16" t="s">
        <v>249</v>
      </c>
      <c r="I129" s="17">
        <v>1182</v>
      </c>
      <c r="J129" s="80">
        <f>Table17[[#This Row],[BIDEN VOTES]]/C290</f>
        <v>0.18336953149239837</v>
      </c>
      <c r="K129" s="18">
        <v>0.59399999999999997</v>
      </c>
      <c r="L129" s="19">
        <v>801</v>
      </c>
      <c r="M129" s="80">
        <f>Table17[[#This Row],[TRUMP VOTES]]/C290</f>
        <v>0.12426310890474714</v>
      </c>
      <c r="N129" s="18">
        <v>0.40300000000000002</v>
      </c>
      <c r="O129" s="82">
        <f>1-(Table17[[#This Row],[NbP]]+Table17[[#This Row],[NbP2]])</f>
        <v>0.69236735960285456</v>
      </c>
    </row>
    <row r="130" spans="1:15" ht="20">
      <c r="A130" s="11" t="s">
        <v>69</v>
      </c>
      <c r="B130" s="12" t="s">
        <v>916</v>
      </c>
      <c r="C130" s="11">
        <v>2019</v>
      </c>
      <c r="D130" s="11" t="s">
        <v>295</v>
      </c>
      <c r="E130" s="11">
        <v>3.2</v>
      </c>
      <c r="F130" s="29">
        <f t="shared" ref="F130:F160" si="4">(E130-MIN(E:E))/(MAX(E:E)-MIN(E:E))</f>
        <v>0.11210762331838564</v>
      </c>
      <c r="H130" s="16" t="s">
        <v>948</v>
      </c>
      <c r="I130" s="17">
        <v>6314</v>
      </c>
      <c r="J130" s="80">
        <f>Table17[[#This Row],[BIDEN VOTES]]/C291</f>
        <v>0.21249242781180588</v>
      </c>
      <c r="K130" s="18">
        <v>0.52</v>
      </c>
      <c r="L130" s="17">
        <v>5733</v>
      </c>
      <c r="M130" s="80">
        <f>Table17[[#This Row],[TRUMP VOTES]]/C291</f>
        <v>0.19293935518610755</v>
      </c>
      <c r="N130" s="18">
        <v>0.47199999999999998</v>
      </c>
      <c r="O130" s="82">
        <f>1-(Table17[[#This Row],[NbP]]+Table17[[#This Row],[NbP2]])</f>
        <v>0.59456821700208651</v>
      </c>
    </row>
    <row r="131" spans="1:15" ht="20">
      <c r="A131" s="13" t="s">
        <v>69</v>
      </c>
      <c r="B131" s="14" t="s">
        <v>1286</v>
      </c>
      <c r="C131" s="13">
        <v>2019</v>
      </c>
      <c r="D131" s="13" t="s">
        <v>295</v>
      </c>
      <c r="E131" s="13"/>
      <c r="F131" s="29">
        <f t="shared" si="4"/>
        <v>-3.1390134529147982E-2</v>
      </c>
      <c r="H131" s="16" t="s">
        <v>1379</v>
      </c>
      <c r="I131" s="17">
        <v>2114</v>
      </c>
      <c r="J131" s="80">
        <f>Table17[[#This Row],[BIDEN VOTES]]/C292</f>
        <v>0.33851080864691752</v>
      </c>
      <c r="K131" s="18">
        <v>0.6</v>
      </c>
      <c r="L131" s="17">
        <v>1392</v>
      </c>
      <c r="M131" s="80">
        <f>Table17[[#This Row],[TRUMP VOTES]]/C292</f>
        <v>0.22289831865492393</v>
      </c>
      <c r="N131" s="18">
        <v>0.39500000000000002</v>
      </c>
      <c r="O131" s="82">
        <f>1-(Table17[[#This Row],[NbP]]+Table17[[#This Row],[NbP2]])</f>
        <v>0.43859087269815855</v>
      </c>
    </row>
    <row r="132" spans="1:15" ht="20">
      <c r="A132" s="11" t="s">
        <v>69</v>
      </c>
      <c r="B132" s="12" t="s">
        <v>1287</v>
      </c>
      <c r="C132" s="11">
        <v>2019</v>
      </c>
      <c r="D132" s="11" t="s">
        <v>295</v>
      </c>
      <c r="E132" s="11"/>
      <c r="F132" s="29">
        <f t="shared" si="4"/>
        <v>-3.1390134529147982E-2</v>
      </c>
      <c r="H132" s="16" t="s">
        <v>1380</v>
      </c>
      <c r="I132" s="19">
        <v>561</v>
      </c>
      <c r="J132" s="80">
        <f>Table17[[#This Row],[BIDEN VOTES]]/C293</f>
        <v>0.35150375939849626</v>
      </c>
      <c r="K132" s="18">
        <v>0.60499999999999998</v>
      </c>
      <c r="L132" s="19">
        <v>360</v>
      </c>
      <c r="M132" s="80">
        <f>Table17[[#This Row],[TRUMP VOTES]]/C293</f>
        <v>0.22556390977443608</v>
      </c>
      <c r="N132" s="18">
        <v>0.38800000000000001</v>
      </c>
      <c r="O132" s="82">
        <f>1-(Table17[[#This Row],[NbP]]+Table17[[#This Row],[NbP2]])</f>
        <v>0.4229323308270676</v>
      </c>
    </row>
    <row r="133" spans="1:15" ht="20">
      <c r="A133" s="13" t="s">
        <v>69</v>
      </c>
      <c r="B133" s="14" t="s">
        <v>1288</v>
      </c>
      <c r="C133" s="13">
        <v>2019</v>
      </c>
      <c r="D133" s="13" t="s">
        <v>295</v>
      </c>
      <c r="E133" s="13">
        <v>3.3</v>
      </c>
      <c r="F133" s="29">
        <f t="shared" si="4"/>
        <v>0.11659192825112105</v>
      </c>
      <c r="H133" s="16" t="s">
        <v>1381</v>
      </c>
      <c r="I133" s="17">
        <v>2062</v>
      </c>
      <c r="J133" s="80">
        <f>Table17[[#This Row],[BIDEN VOTES]]/C294</f>
        <v>8.1206679269061124E-2</v>
      </c>
      <c r="K133" s="18">
        <v>0.252</v>
      </c>
      <c r="L133" s="17">
        <v>6054</v>
      </c>
      <c r="M133" s="80">
        <f>Table17[[#This Row],[TRUMP VOTES]]/C294</f>
        <v>0.23842155009451796</v>
      </c>
      <c r="N133" s="18">
        <v>0.74</v>
      </c>
      <c r="O133" s="82">
        <f>1-(Table17[[#This Row],[NbP]]+Table17[[#This Row],[NbP2]])</f>
        <v>0.68037177063642096</v>
      </c>
    </row>
    <row r="134" spans="1:15" ht="20">
      <c r="A134" s="11" t="s">
        <v>69</v>
      </c>
      <c r="B134" s="12" t="s">
        <v>755</v>
      </c>
      <c r="C134" s="11">
        <v>2019</v>
      </c>
      <c r="D134" s="11" t="s">
        <v>295</v>
      </c>
      <c r="E134" s="11">
        <v>4.4000000000000004</v>
      </c>
      <c r="F134" s="29">
        <f t="shared" si="4"/>
        <v>0.16591928251121077</v>
      </c>
      <c r="H134" s="16" t="s">
        <v>526</v>
      </c>
      <c r="I134" s="17">
        <v>1388</v>
      </c>
      <c r="J134" s="80">
        <f>Table17[[#This Row],[BIDEN VOTES]]/C295</f>
        <v>0.17080974649273936</v>
      </c>
      <c r="K134" s="18">
        <v>0.36099999999999999</v>
      </c>
      <c r="L134" s="17">
        <v>2420</v>
      </c>
      <c r="M134" s="80">
        <f>Table17[[#This Row],[TRUMP VOTES]]/C295</f>
        <v>0.29780950036918535</v>
      </c>
      <c r="N134" s="18">
        <v>0.63</v>
      </c>
      <c r="O134" s="82">
        <f>1-(Table17[[#This Row],[NbP]]+Table17[[#This Row],[NbP2]])</f>
        <v>0.53138075313807531</v>
      </c>
    </row>
    <row r="135" spans="1:15" ht="20">
      <c r="A135" s="13" t="s">
        <v>69</v>
      </c>
      <c r="B135" s="14" t="s">
        <v>1289</v>
      </c>
      <c r="C135" s="13">
        <v>2019</v>
      </c>
      <c r="D135" s="13" t="s">
        <v>295</v>
      </c>
      <c r="E135" s="13">
        <v>3.9</v>
      </c>
      <c r="F135" s="29">
        <f t="shared" si="4"/>
        <v>0.14349775784753363</v>
      </c>
      <c r="H135" s="16" t="s">
        <v>1382</v>
      </c>
      <c r="I135" s="17">
        <v>1488</v>
      </c>
      <c r="J135" s="80">
        <f>Table17[[#This Row],[BIDEN VOTES]]/C296</f>
        <v>9.3755907000189029E-2</v>
      </c>
      <c r="K135" s="18">
        <v>0.34300000000000003</v>
      </c>
      <c r="L135" s="17">
        <v>2825</v>
      </c>
      <c r="M135" s="80">
        <f>Table17[[#This Row],[TRUMP VOTES]]/C296</f>
        <v>0.17799760569592338</v>
      </c>
      <c r="N135" s="18">
        <v>0.65200000000000002</v>
      </c>
      <c r="O135" s="82">
        <f>1-(Table17[[#This Row],[NbP]]+Table17[[#This Row],[NbP2]])</f>
        <v>0.72824648730388764</v>
      </c>
    </row>
    <row r="136" spans="1:15" ht="20">
      <c r="A136" s="11" t="s">
        <v>69</v>
      </c>
      <c r="B136" s="12" t="s">
        <v>756</v>
      </c>
      <c r="C136" s="11">
        <v>2019</v>
      </c>
      <c r="D136" s="11" t="s">
        <v>295</v>
      </c>
      <c r="E136" s="11"/>
      <c r="F136" s="29">
        <f t="shared" si="4"/>
        <v>-3.1390134529147982E-2</v>
      </c>
      <c r="H136" s="16" t="s">
        <v>527</v>
      </c>
      <c r="I136" s="17">
        <v>2376</v>
      </c>
      <c r="J136" s="80">
        <f>Table17[[#This Row],[BIDEN VOTES]]/C297</f>
        <v>0.27455511902010632</v>
      </c>
      <c r="K136" s="18">
        <v>0.53800000000000003</v>
      </c>
      <c r="L136" s="17">
        <v>2004</v>
      </c>
      <c r="M136" s="80">
        <f>Table17[[#This Row],[TRUMP VOTES]]/C297</f>
        <v>0.23156921654726137</v>
      </c>
      <c r="N136" s="18">
        <v>0.45400000000000001</v>
      </c>
      <c r="O136" s="82">
        <f>1-(Table17[[#This Row],[NbP]]+Table17[[#This Row],[NbP2]])</f>
        <v>0.49387566443263231</v>
      </c>
    </row>
    <row r="137" spans="1:15" ht="20">
      <c r="A137" s="13" t="s">
        <v>69</v>
      </c>
      <c r="B137" s="14" t="s">
        <v>1290</v>
      </c>
      <c r="C137" s="13">
        <v>2019</v>
      </c>
      <c r="D137" s="13" t="s">
        <v>295</v>
      </c>
      <c r="E137" s="13">
        <v>3.9</v>
      </c>
      <c r="F137" s="29">
        <f t="shared" si="4"/>
        <v>0.14349775784753363</v>
      </c>
      <c r="H137" s="16" t="s">
        <v>1383</v>
      </c>
      <c r="I137" s="17">
        <v>8708</v>
      </c>
      <c r="J137" s="80">
        <f>Table17[[#This Row],[BIDEN VOTES]]/C298</f>
        <v>0.19548770905825569</v>
      </c>
      <c r="K137" s="18">
        <v>0.39800000000000002</v>
      </c>
      <c r="L137" s="17">
        <v>12969</v>
      </c>
      <c r="M137" s="80">
        <f>Table17[[#This Row],[TRUMP VOTES]]/C298</f>
        <v>0.29114378718150186</v>
      </c>
      <c r="N137" s="18">
        <v>0.59299999999999997</v>
      </c>
      <c r="O137" s="82">
        <f>1-(Table17[[#This Row],[NbP]]+Table17[[#This Row],[NbP2]])</f>
        <v>0.51336850376024246</v>
      </c>
    </row>
    <row r="138" spans="1:15" ht="20">
      <c r="A138" s="11" t="s">
        <v>69</v>
      </c>
      <c r="B138" s="12" t="s">
        <v>1291</v>
      </c>
      <c r="C138" s="11">
        <v>2019</v>
      </c>
      <c r="D138" s="11" t="s">
        <v>295</v>
      </c>
      <c r="E138" s="11">
        <v>5.0999999999999996</v>
      </c>
      <c r="F138" s="29">
        <f t="shared" si="4"/>
        <v>0.1973094170403587</v>
      </c>
      <c r="H138" s="16" t="s">
        <v>1384</v>
      </c>
      <c r="I138" s="17">
        <v>5318</v>
      </c>
      <c r="J138" s="80">
        <f>Table17[[#This Row],[BIDEN VOTES]]/C299</f>
        <v>0.13101749199310175</v>
      </c>
      <c r="K138" s="18">
        <v>0.32700000000000001</v>
      </c>
      <c r="L138" s="17">
        <v>10784</v>
      </c>
      <c r="M138" s="80">
        <f>Table17[[#This Row],[TRUMP VOTES]]/C299</f>
        <v>0.26568120226656811</v>
      </c>
      <c r="N138" s="18">
        <v>0.66200000000000003</v>
      </c>
      <c r="O138" s="82">
        <f>1-(Table17[[#This Row],[NbP]]+Table17[[#This Row],[NbP2]])</f>
        <v>0.60330130574033014</v>
      </c>
    </row>
    <row r="139" spans="1:15" ht="20">
      <c r="A139" s="13" t="s">
        <v>69</v>
      </c>
      <c r="B139" s="14" t="s">
        <v>1292</v>
      </c>
      <c r="C139" s="13">
        <v>2019</v>
      </c>
      <c r="D139" s="13" t="s">
        <v>295</v>
      </c>
      <c r="E139" s="13">
        <v>6.8</v>
      </c>
      <c r="F139" s="29">
        <f t="shared" si="4"/>
        <v>0.27354260089686094</v>
      </c>
      <c r="H139" s="16" t="s">
        <v>1385</v>
      </c>
      <c r="I139" s="17">
        <v>2938</v>
      </c>
      <c r="J139" s="80">
        <f>Table17[[#This Row],[BIDEN VOTES]]/C300</f>
        <v>0.10902883437859502</v>
      </c>
      <c r="K139" s="18">
        <v>0.26900000000000002</v>
      </c>
      <c r="L139" s="17">
        <v>7873</v>
      </c>
      <c r="M139" s="80">
        <f>Table17[[#This Row],[TRUMP VOTES]]/C300</f>
        <v>0.29216610383345087</v>
      </c>
      <c r="N139" s="18">
        <v>0.72099999999999997</v>
      </c>
      <c r="O139" s="82">
        <f>1-(Table17[[#This Row],[NbP]]+Table17[[#This Row],[NbP2]])</f>
        <v>0.59880506178795412</v>
      </c>
    </row>
    <row r="140" spans="1:15" ht="20">
      <c r="A140" s="11" t="s">
        <v>69</v>
      </c>
      <c r="B140" s="12" t="s">
        <v>1293</v>
      </c>
      <c r="C140" s="11">
        <v>2019</v>
      </c>
      <c r="D140" s="11" t="s">
        <v>295</v>
      </c>
      <c r="E140" s="11">
        <v>10.199999999999999</v>
      </c>
      <c r="F140" s="29">
        <f t="shared" si="4"/>
        <v>0.42600896860986548</v>
      </c>
      <c r="H140" s="16" t="s">
        <v>1386</v>
      </c>
      <c r="I140" s="17">
        <v>1550</v>
      </c>
      <c r="J140" s="80">
        <f>Table17[[#This Row],[BIDEN VOTES]]/C301</f>
        <v>0.13118916631400762</v>
      </c>
      <c r="K140" s="18">
        <v>0.19400000000000001</v>
      </c>
      <c r="L140" s="17">
        <v>6384</v>
      </c>
      <c r="M140" s="80">
        <f>Table17[[#This Row],[TRUMP VOTES]]/C301</f>
        <v>0.54033008887008038</v>
      </c>
      <c r="N140" s="18">
        <v>0.8</v>
      </c>
      <c r="O140" s="82">
        <f>1-(Table17[[#This Row],[NbP]]+Table17[[#This Row],[NbP2]])</f>
        <v>0.32848074481591194</v>
      </c>
    </row>
    <row r="141" spans="1:15" ht="20">
      <c r="A141" s="13" t="s">
        <v>69</v>
      </c>
      <c r="B141" s="14" t="s">
        <v>1294</v>
      </c>
      <c r="C141" s="13">
        <v>2019</v>
      </c>
      <c r="D141" s="13" t="s">
        <v>295</v>
      </c>
      <c r="E141" s="13"/>
      <c r="F141" s="29">
        <f t="shared" si="4"/>
        <v>-3.1390134529147982E-2</v>
      </c>
      <c r="H141" s="16" t="s">
        <v>1387</v>
      </c>
      <c r="I141" s="19">
        <v>952</v>
      </c>
      <c r="J141" s="80">
        <f>Table17[[#This Row],[BIDEN VOTES]]/C302</f>
        <v>0.14026815971710624</v>
      </c>
      <c r="K141" s="18">
        <v>0.309</v>
      </c>
      <c r="L141" s="17">
        <v>2101</v>
      </c>
      <c r="M141" s="80">
        <f>Table17[[#This Row],[TRUMP VOTES]]/C302</f>
        <v>0.30956239870340357</v>
      </c>
      <c r="N141" s="18">
        <v>0.68300000000000005</v>
      </c>
      <c r="O141" s="82">
        <f>1-(Table17[[#This Row],[NbP]]+Table17[[#This Row],[NbP2]])</f>
        <v>0.55016944157949021</v>
      </c>
    </row>
    <row r="142" spans="1:15" ht="20">
      <c r="A142" s="11" t="s">
        <v>69</v>
      </c>
      <c r="B142" s="12" t="s">
        <v>1295</v>
      </c>
      <c r="C142" s="11">
        <v>2019</v>
      </c>
      <c r="D142" s="11" t="s">
        <v>295</v>
      </c>
      <c r="E142" s="11">
        <v>8.1999999999999993</v>
      </c>
      <c r="F142" s="29">
        <f t="shared" si="4"/>
        <v>0.33632286995515692</v>
      </c>
      <c r="H142" s="16" t="s">
        <v>1388</v>
      </c>
      <c r="I142" s="17">
        <v>11577</v>
      </c>
      <c r="J142" s="80">
        <f>Table17[[#This Row],[BIDEN VOTES]]/C303</f>
        <v>0.1651615664455382</v>
      </c>
      <c r="K142" s="18">
        <v>0.38500000000000001</v>
      </c>
      <c r="L142" s="17">
        <v>18142</v>
      </c>
      <c r="M142" s="80">
        <f>Table17[[#This Row],[TRUMP VOTES]]/C303</f>
        <v>0.25882017262286894</v>
      </c>
      <c r="N142" s="18">
        <v>0.60399999999999998</v>
      </c>
      <c r="O142" s="82">
        <f>1-(Table17[[#This Row],[NbP]]+Table17[[#This Row],[NbP2]])</f>
        <v>0.57601826093159292</v>
      </c>
    </row>
    <row r="143" spans="1:15" ht="20">
      <c r="A143" s="13" t="s">
        <v>69</v>
      </c>
      <c r="B143" s="14" t="s">
        <v>1296</v>
      </c>
      <c r="C143" s="13">
        <v>2019</v>
      </c>
      <c r="D143" s="13" t="s">
        <v>295</v>
      </c>
      <c r="E143" s="13">
        <v>7.1</v>
      </c>
      <c r="F143" s="29">
        <f t="shared" si="4"/>
        <v>0.2869955156950672</v>
      </c>
      <c r="H143" s="16" t="s">
        <v>1389</v>
      </c>
      <c r="I143" s="17">
        <v>1409</v>
      </c>
      <c r="J143" s="80">
        <f>Table17[[#This Row],[BIDEN VOTES]]/C304</f>
        <v>0.1779040404040404</v>
      </c>
      <c r="K143" s="18">
        <v>0.372</v>
      </c>
      <c r="L143" s="17">
        <v>2349</v>
      </c>
      <c r="M143" s="80">
        <f>Table17[[#This Row],[TRUMP VOTES]]/C304</f>
        <v>0.29659090909090907</v>
      </c>
      <c r="N143" s="18">
        <v>0.62</v>
      </c>
      <c r="O143" s="82">
        <f>1-(Table17[[#This Row],[NbP]]+Table17[[#This Row],[NbP2]])</f>
        <v>0.52550505050505047</v>
      </c>
    </row>
    <row r="144" spans="1:15" ht="20">
      <c r="A144" s="11" t="s">
        <v>69</v>
      </c>
      <c r="B144" s="12" t="s">
        <v>1297</v>
      </c>
      <c r="C144" s="11">
        <v>2019</v>
      </c>
      <c r="D144" s="11" t="s">
        <v>295</v>
      </c>
      <c r="E144" s="11">
        <v>5.8</v>
      </c>
      <c r="F144" s="29">
        <f t="shared" si="4"/>
        <v>0.22869955156950669</v>
      </c>
      <c r="H144" s="16" t="s">
        <v>1390</v>
      </c>
      <c r="I144" s="17">
        <v>2044</v>
      </c>
      <c r="J144" s="80">
        <f>Table17[[#This Row],[BIDEN VOTES]]/C305</f>
        <v>0.24942037827943869</v>
      </c>
      <c r="K144" s="18">
        <v>0.46</v>
      </c>
      <c r="L144" s="17">
        <v>2370</v>
      </c>
      <c r="M144" s="80">
        <f>Table17[[#This Row],[TRUMP VOTES]]/C305</f>
        <v>0.2892007321537523</v>
      </c>
      <c r="N144" s="18">
        <v>0.53300000000000003</v>
      </c>
      <c r="O144" s="82">
        <f>1-(Table17[[#This Row],[NbP]]+Table17[[#This Row],[NbP2]])</f>
        <v>0.46137888956680895</v>
      </c>
    </row>
    <row r="145" spans="1:15" ht="20">
      <c r="A145" s="13" t="s">
        <v>69</v>
      </c>
      <c r="B145" s="14" t="s">
        <v>157</v>
      </c>
      <c r="C145" s="13">
        <v>2019</v>
      </c>
      <c r="D145" s="13" t="s">
        <v>295</v>
      </c>
      <c r="E145" s="13">
        <v>10.1</v>
      </c>
      <c r="F145" s="29">
        <f t="shared" si="4"/>
        <v>0.42152466367713004</v>
      </c>
      <c r="H145" s="16" t="s">
        <v>255</v>
      </c>
      <c r="I145" s="17">
        <v>2800</v>
      </c>
      <c r="J145" s="80">
        <f>Table17[[#This Row],[BIDEN VOTES]]/C306</f>
        <v>0.11667152798033252</v>
      </c>
      <c r="K145" s="18">
        <v>0.18</v>
      </c>
      <c r="L145" s="17">
        <v>12650</v>
      </c>
      <c r="M145" s="80">
        <f>Table17[[#This Row],[TRUMP VOTES]]/C306</f>
        <v>0.52710529605400225</v>
      </c>
      <c r="N145" s="18">
        <v>0.81299999999999994</v>
      </c>
      <c r="O145" s="82">
        <f>1-(Table17[[#This Row],[NbP]]+Table17[[#This Row],[NbP2]])</f>
        <v>0.35622317596566522</v>
      </c>
    </row>
    <row r="146" spans="1:15" ht="20">
      <c r="A146" s="11" t="s">
        <v>69</v>
      </c>
      <c r="B146" s="12" t="s">
        <v>1298</v>
      </c>
      <c r="C146" s="11">
        <v>2019</v>
      </c>
      <c r="D146" s="11" t="s">
        <v>295</v>
      </c>
      <c r="E146" s="11">
        <v>5.7</v>
      </c>
      <c r="F146" s="29">
        <f t="shared" si="4"/>
        <v>0.22421524663677128</v>
      </c>
      <c r="H146" s="16" t="s">
        <v>1391</v>
      </c>
      <c r="I146" s="17">
        <v>4203</v>
      </c>
      <c r="J146" s="80">
        <f>Table17[[#This Row],[BIDEN VOTES]]/C307</f>
        <v>0.1596338638003722</v>
      </c>
      <c r="K146" s="18">
        <v>0.32600000000000001</v>
      </c>
      <c r="L146" s="17">
        <v>8606</v>
      </c>
      <c r="M146" s="80">
        <f>Table17[[#This Row],[TRUMP VOTES]]/C307</f>
        <v>0.32686391431501388</v>
      </c>
      <c r="N146" s="18">
        <v>0.66700000000000004</v>
      </c>
      <c r="O146" s="82">
        <f>1-(Table17[[#This Row],[NbP]]+Table17[[#This Row],[NbP2]])</f>
        <v>0.51350222188461392</v>
      </c>
    </row>
    <row r="147" spans="1:15" ht="20">
      <c r="A147" s="13" t="s">
        <v>69</v>
      </c>
      <c r="B147" s="14" t="s">
        <v>770</v>
      </c>
      <c r="C147" s="13">
        <v>2019</v>
      </c>
      <c r="D147" s="13" t="s">
        <v>295</v>
      </c>
      <c r="E147" s="13">
        <v>7</v>
      </c>
      <c r="F147" s="29">
        <f t="shared" si="4"/>
        <v>0.28251121076233182</v>
      </c>
      <c r="H147" s="16" t="s">
        <v>541</v>
      </c>
      <c r="I147" s="17">
        <v>5770</v>
      </c>
      <c r="J147" s="80">
        <f>Table17[[#This Row],[BIDEN VOTES]]/C308</f>
        <v>8.3143606443989743E-2</v>
      </c>
      <c r="K147" s="18">
        <v>0.19700000000000001</v>
      </c>
      <c r="L147" s="17">
        <v>23173</v>
      </c>
      <c r="M147" s="80">
        <f>Table17[[#This Row],[TRUMP VOTES]]/C308</f>
        <v>0.33391452203233524</v>
      </c>
      <c r="N147" s="18">
        <v>0.78900000000000003</v>
      </c>
      <c r="O147" s="82">
        <f>1-(Table17[[#This Row],[NbP]]+Table17[[#This Row],[NbP2]])</f>
        <v>0.58294187152367505</v>
      </c>
    </row>
    <row r="148" spans="1:15" ht="20">
      <c r="A148" s="11" t="s">
        <v>69</v>
      </c>
      <c r="B148" s="12" t="s">
        <v>1299</v>
      </c>
      <c r="C148" s="11">
        <v>2019</v>
      </c>
      <c r="D148" s="11" t="s">
        <v>295</v>
      </c>
      <c r="E148" s="11">
        <v>7.5</v>
      </c>
      <c r="F148" s="29">
        <f t="shared" si="4"/>
        <v>0.30493273542600896</v>
      </c>
      <c r="H148" s="16" t="s">
        <v>1392</v>
      </c>
      <c r="I148" s="17">
        <v>12683</v>
      </c>
      <c r="J148" s="80">
        <f>Table17[[#This Row],[BIDEN VOTES]]/C309</f>
        <v>0.13596115089404401</v>
      </c>
      <c r="K148" s="18">
        <v>0.248</v>
      </c>
      <c r="L148" s="17">
        <v>37839</v>
      </c>
      <c r="M148" s="80">
        <f>Table17[[#This Row],[TRUMP VOTES]]/C309</f>
        <v>0.40563226276746278</v>
      </c>
      <c r="N148" s="18">
        <v>0.74099999999999999</v>
      </c>
      <c r="O148" s="82">
        <f>1-(Table17[[#This Row],[NbP]]+Table17[[#This Row],[NbP2]])</f>
        <v>0.45840658633849318</v>
      </c>
    </row>
    <row r="149" spans="1:15" ht="20">
      <c r="A149" s="13" t="s">
        <v>69</v>
      </c>
      <c r="B149" s="14" t="s">
        <v>1300</v>
      </c>
      <c r="C149" s="13">
        <v>2019</v>
      </c>
      <c r="D149" s="13" t="s">
        <v>295</v>
      </c>
      <c r="E149" s="13">
        <v>9.1999999999999993</v>
      </c>
      <c r="F149" s="29">
        <f t="shared" si="4"/>
        <v>0.3811659192825112</v>
      </c>
      <c r="H149" s="16" t="s">
        <v>1393</v>
      </c>
      <c r="I149" s="17">
        <v>4169</v>
      </c>
      <c r="J149" s="80">
        <f>Table17[[#This Row],[BIDEN VOTES]]/C310</f>
        <v>0.11663169674080291</v>
      </c>
      <c r="K149" s="18">
        <v>0.29399999999999998</v>
      </c>
      <c r="L149" s="17">
        <v>9903</v>
      </c>
      <c r="M149" s="80">
        <f>Table17[[#This Row],[TRUMP VOTES]]/C310</f>
        <v>0.27704574066302978</v>
      </c>
      <c r="N149" s="18">
        <v>0.69799999999999995</v>
      </c>
      <c r="O149" s="82">
        <f>1-(Table17[[#This Row],[NbP]]+Table17[[#This Row],[NbP2]])</f>
        <v>0.60632256259616724</v>
      </c>
    </row>
    <row r="150" spans="1:15" ht="20">
      <c r="A150" s="11" t="s">
        <v>69</v>
      </c>
      <c r="B150" s="12" t="s">
        <v>159</v>
      </c>
      <c r="C150" s="11">
        <v>2019</v>
      </c>
      <c r="D150" s="11" t="s">
        <v>295</v>
      </c>
      <c r="E150" s="11">
        <v>4.8</v>
      </c>
      <c r="F150" s="29">
        <f t="shared" si="4"/>
        <v>0.18385650224215244</v>
      </c>
      <c r="H150" s="16" t="s">
        <v>257</v>
      </c>
      <c r="I150" s="17">
        <v>1468</v>
      </c>
      <c r="J150" s="80">
        <f>Table17[[#This Row],[BIDEN VOTES]]/C311</f>
        <v>0.27914052101159914</v>
      </c>
      <c r="K150" s="18">
        <v>0.55400000000000005</v>
      </c>
      <c r="L150" s="17">
        <v>1166</v>
      </c>
      <c r="M150" s="80">
        <f>Table17[[#This Row],[TRUMP VOTES]]/C311</f>
        <v>0.22171515497242822</v>
      </c>
      <c r="N150" s="18">
        <v>0.44</v>
      </c>
      <c r="O150" s="82">
        <f>1-(Table17[[#This Row],[NbP]]+Table17[[#This Row],[NbP2]])</f>
        <v>0.49914432401597264</v>
      </c>
    </row>
    <row r="151" spans="1:15" ht="20">
      <c r="A151" s="13" t="s">
        <v>69</v>
      </c>
      <c r="B151" s="14" t="s">
        <v>38</v>
      </c>
      <c r="C151" s="13">
        <v>2019</v>
      </c>
      <c r="D151" s="13" t="s">
        <v>295</v>
      </c>
      <c r="E151" s="13">
        <v>3.2</v>
      </c>
      <c r="F151" s="29">
        <f t="shared" si="4"/>
        <v>0.11210762331838564</v>
      </c>
      <c r="H151" s="16" t="s">
        <v>258</v>
      </c>
      <c r="I151" s="17">
        <v>4743</v>
      </c>
      <c r="J151" s="80">
        <f>Table17[[#This Row],[BIDEN VOTES]]/C312</f>
        <v>0.23346131128174838</v>
      </c>
      <c r="K151" s="18">
        <v>0.5</v>
      </c>
      <c r="L151" s="17">
        <v>4668</v>
      </c>
      <c r="M151" s="80">
        <f>Table17[[#This Row],[TRUMP VOTES]]/C312</f>
        <v>0.22976963969285291</v>
      </c>
      <c r="N151" s="18">
        <v>0.49299999999999999</v>
      </c>
      <c r="O151" s="82">
        <f>1-(Table17[[#This Row],[NbP]]+Table17[[#This Row],[NbP2]])</f>
        <v>0.53676904902539868</v>
      </c>
    </row>
    <row r="152" spans="1:15" ht="20">
      <c r="A152" s="11" t="s">
        <v>69</v>
      </c>
      <c r="B152" s="12" t="s">
        <v>160</v>
      </c>
      <c r="C152" s="11">
        <v>2019</v>
      </c>
      <c r="D152" s="11" t="s">
        <v>295</v>
      </c>
      <c r="E152" s="11">
        <v>5.4</v>
      </c>
      <c r="F152" s="29">
        <f t="shared" si="4"/>
        <v>0.21076233183856502</v>
      </c>
      <c r="H152" s="16" t="s">
        <v>259</v>
      </c>
      <c r="I152" s="17">
        <v>2688</v>
      </c>
      <c r="J152" s="80">
        <f>Table17[[#This Row],[BIDEN VOTES]]/C313</f>
        <v>8.9722620915250836E-2</v>
      </c>
      <c r="K152" s="18">
        <v>0.21</v>
      </c>
      <c r="L152" s="17">
        <v>9987</v>
      </c>
      <c r="M152" s="80">
        <f>Table17[[#This Row],[TRUMP VOTES]]/C313</f>
        <v>0.33335558596748888</v>
      </c>
      <c r="N152" s="18">
        <v>0.78200000000000003</v>
      </c>
      <c r="O152" s="82">
        <f>1-(Table17[[#This Row],[NbP]]+Table17[[#This Row],[NbP2]])</f>
        <v>0.57692179311726033</v>
      </c>
    </row>
    <row r="153" spans="1:15" ht="20">
      <c r="A153" s="13" t="s">
        <v>69</v>
      </c>
      <c r="B153" s="14" t="s">
        <v>884</v>
      </c>
      <c r="C153" s="13">
        <v>2019</v>
      </c>
      <c r="D153" s="13" t="s">
        <v>295</v>
      </c>
      <c r="E153" s="13"/>
      <c r="F153" s="29">
        <f t="shared" si="4"/>
        <v>-3.1390134529147982E-2</v>
      </c>
      <c r="H153" s="16" t="s">
        <v>853</v>
      </c>
      <c r="I153" s="19">
        <v>640</v>
      </c>
      <c r="J153" s="80">
        <f>Table17[[#This Row],[BIDEN VOTES]]/C314</f>
        <v>0.24739080015461926</v>
      </c>
      <c r="K153" s="18">
        <v>0.46</v>
      </c>
      <c r="L153" s="19">
        <v>748</v>
      </c>
      <c r="M153" s="80">
        <f>Table17[[#This Row],[TRUMP VOTES]]/C314</f>
        <v>0.28913799768071125</v>
      </c>
      <c r="N153" s="18">
        <v>0.53800000000000003</v>
      </c>
      <c r="O153" s="82">
        <f>1-(Table17[[#This Row],[NbP]]+Table17[[#This Row],[NbP2]])</f>
        <v>0.46347120216466953</v>
      </c>
    </row>
    <row r="154" spans="1:15" ht="20">
      <c r="A154" s="11" t="s">
        <v>69</v>
      </c>
      <c r="B154" s="12" t="s">
        <v>298</v>
      </c>
      <c r="C154" s="11">
        <v>2019</v>
      </c>
      <c r="D154" s="11" t="s">
        <v>295</v>
      </c>
      <c r="E154" s="11"/>
      <c r="F154" s="29">
        <f t="shared" si="4"/>
        <v>-3.1390134529147982E-2</v>
      </c>
      <c r="H154" s="16" t="s">
        <v>293</v>
      </c>
      <c r="I154" s="19">
        <v>689</v>
      </c>
      <c r="J154" s="80">
        <f>Table17[[#This Row],[BIDEN VOTES]]/C315</f>
        <v>8.7248322147651006E-2</v>
      </c>
      <c r="K154" s="18">
        <v>0.30199999999999999</v>
      </c>
      <c r="L154" s="17">
        <v>1583</v>
      </c>
      <c r="M154" s="80">
        <f>Table17[[#This Row],[TRUMP VOTES]]/C315</f>
        <v>0.20045586931746232</v>
      </c>
      <c r="N154" s="18">
        <v>0.69299999999999995</v>
      </c>
      <c r="O154" s="82">
        <f>1-(Table17[[#This Row],[NbP]]+Table17[[#This Row],[NbP2]])</f>
        <v>0.71229580853488672</v>
      </c>
    </row>
    <row r="155" spans="1:15" ht="20">
      <c r="A155" s="13" t="s">
        <v>69</v>
      </c>
      <c r="B155" s="14" t="s">
        <v>162</v>
      </c>
      <c r="C155" s="13">
        <v>2019</v>
      </c>
      <c r="D155" s="13" t="s">
        <v>295</v>
      </c>
      <c r="E155" s="13">
        <v>7.4</v>
      </c>
      <c r="F155" s="29">
        <f t="shared" si="4"/>
        <v>0.30044843049327352</v>
      </c>
      <c r="H155" s="16" t="s">
        <v>261</v>
      </c>
      <c r="I155" s="17">
        <v>2411</v>
      </c>
      <c r="J155" s="80">
        <f>Table17[[#This Row],[BIDEN VOTES]]/C316</f>
        <v>8.0468593551832321E-2</v>
      </c>
      <c r="K155" s="18">
        <v>0.16300000000000001</v>
      </c>
      <c r="L155" s="17">
        <v>12222</v>
      </c>
      <c r="M155" s="80">
        <f>Table17[[#This Row],[TRUMP VOTES]]/C316</f>
        <v>0.40791669447967427</v>
      </c>
      <c r="N155" s="18">
        <v>0.82499999999999996</v>
      </c>
      <c r="O155" s="82">
        <f>1-(Table17[[#This Row],[NbP]]+Table17[[#This Row],[NbP2]])</f>
        <v>0.5116147119684934</v>
      </c>
    </row>
    <row r="156" spans="1:15" ht="20">
      <c r="A156" s="11" t="s">
        <v>69</v>
      </c>
      <c r="B156" s="12" t="s">
        <v>1301</v>
      </c>
      <c r="C156" s="11">
        <v>2019</v>
      </c>
      <c r="D156" s="11" t="s">
        <v>295</v>
      </c>
      <c r="E156" s="11">
        <v>1.4</v>
      </c>
      <c r="F156" s="29">
        <f t="shared" si="4"/>
        <v>3.1390134529147982E-2</v>
      </c>
      <c r="H156" s="16" t="s">
        <v>1394</v>
      </c>
      <c r="I156" s="17">
        <v>10680</v>
      </c>
      <c r="J156" s="80">
        <f>Table17[[#This Row],[BIDEN VOTES]]/C317</f>
        <v>0.10257198286625305</v>
      </c>
      <c r="K156" s="18">
        <v>0.28999999999999998</v>
      </c>
      <c r="L156" s="17">
        <v>25644</v>
      </c>
      <c r="M156" s="80">
        <f>Table17[[#This Row],[TRUMP VOTES]]/C317</f>
        <v>0.24628800829795816</v>
      </c>
      <c r="N156" s="18">
        <v>0.69699999999999995</v>
      </c>
      <c r="O156" s="82">
        <f>1-(Table17[[#This Row],[NbP]]+Table17[[#This Row],[NbP2]])</f>
        <v>0.65114000883578882</v>
      </c>
    </row>
    <row r="157" spans="1:15" ht="20">
      <c r="A157" s="13" t="s">
        <v>69</v>
      </c>
      <c r="B157" s="14" t="s">
        <v>920</v>
      </c>
      <c r="C157" s="13">
        <v>2019</v>
      </c>
      <c r="D157" s="13" t="s">
        <v>295</v>
      </c>
      <c r="E157" s="13">
        <v>6.7</v>
      </c>
      <c r="F157" s="29">
        <f t="shared" si="4"/>
        <v>0.26905829596412556</v>
      </c>
      <c r="H157" s="16" t="s">
        <v>952</v>
      </c>
      <c r="I157" s="19">
        <v>861</v>
      </c>
      <c r="J157" s="80">
        <f>Table17[[#This Row],[BIDEN VOTES]]/C318</f>
        <v>9.8954143201930814E-2</v>
      </c>
      <c r="K157" s="18">
        <v>0.26300000000000001</v>
      </c>
      <c r="L157" s="17">
        <v>2402</v>
      </c>
      <c r="M157" s="80">
        <f>Table17[[#This Row],[TRUMP VOTES]]/C318</f>
        <v>0.27606022296287785</v>
      </c>
      <c r="N157" s="18">
        <v>0.73299999999999998</v>
      </c>
      <c r="O157" s="82">
        <f>1-(Table17[[#This Row],[NbP]]+Table17[[#This Row],[NbP2]])</f>
        <v>0.62498563383519135</v>
      </c>
    </row>
    <row r="158" spans="1:15" ht="20">
      <c r="A158" s="11" t="s">
        <v>69</v>
      </c>
      <c r="B158" s="12" t="s">
        <v>1302</v>
      </c>
      <c r="C158" s="11">
        <v>2019</v>
      </c>
      <c r="D158" s="11" t="s">
        <v>295</v>
      </c>
      <c r="E158" s="11">
        <v>7.2</v>
      </c>
      <c r="F158" s="29">
        <f t="shared" si="4"/>
        <v>0.2914798206278027</v>
      </c>
      <c r="H158" s="16" t="s">
        <v>1395</v>
      </c>
      <c r="I158" s="17">
        <v>2160</v>
      </c>
      <c r="J158" s="80">
        <f>Table17[[#This Row],[BIDEN VOTES]]/C319</f>
        <v>0.22047565581300399</v>
      </c>
      <c r="K158" s="18">
        <v>0.42899999999999999</v>
      </c>
      <c r="L158" s="17">
        <v>2823</v>
      </c>
      <c r="M158" s="80">
        <f>Table17[[#This Row],[TRUMP VOTES]]/C319</f>
        <v>0.28814943350005101</v>
      </c>
      <c r="N158" s="18">
        <v>0.56100000000000005</v>
      </c>
      <c r="O158" s="82">
        <f>1-(Table17[[#This Row],[NbP]]+Table17[[#This Row],[NbP2]])</f>
        <v>0.49137491068694494</v>
      </c>
    </row>
    <row r="159" spans="1:15" ht="20">
      <c r="A159" s="13" t="s">
        <v>69</v>
      </c>
      <c r="B159" s="14" t="s">
        <v>1303</v>
      </c>
      <c r="C159" s="13">
        <v>2019</v>
      </c>
      <c r="D159" s="13" t="s">
        <v>295</v>
      </c>
      <c r="E159" s="13">
        <v>8.3000000000000007</v>
      </c>
      <c r="F159" s="29">
        <f t="shared" si="4"/>
        <v>0.34080717488789242</v>
      </c>
      <c r="H159" s="16" t="s">
        <v>1396</v>
      </c>
      <c r="I159" s="17">
        <v>2074</v>
      </c>
      <c r="J159" s="80">
        <f>Table17[[#This Row],[BIDEN VOTES]]/C320</f>
        <v>0.23186137506987145</v>
      </c>
      <c r="K159" s="18">
        <v>0.435</v>
      </c>
      <c r="L159" s="17">
        <v>2665</v>
      </c>
      <c r="M159" s="80">
        <f>Table17[[#This Row],[TRUMP VOTES]]/C320</f>
        <v>0.29793180547792064</v>
      </c>
      <c r="N159" s="18">
        <v>0.55900000000000005</v>
      </c>
      <c r="O159" s="82">
        <f>1-(Table17[[#This Row],[NbP]]+Table17[[#This Row],[NbP2]])</f>
        <v>0.47020681945220788</v>
      </c>
    </row>
    <row r="160" spans="1:15" ht="20">
      <c r="A160" s="68" t="s">
        <v>69</v>
      </c>
      <c r="B160" s="69" t="s">
        <v>1304</v>
      </c>
      <c r="C160" s="68">
        <v>2019</v>
      </c>
      <c r="D160" s="68" t="s">
        <v>295</v>
      </c>
      <c r="E160" s="68">
        <v>9</v>
      </c>
      <c r="F160" s="29">
        <f t="shared" si="4"/>
        <v>0.37219730941704038</v>
      </c>
      <c r="H160" s="16" t="s">
        <v>1397</v>
      </c>
      <c r="I160" s="17">
        <v>2395</v>
      </c>
      <c r="J160" s="80">
        <f>Table17[[#This Row],[BIDEN VOTES]]/C321</f>
        <v>0.1177135554900226</v>
      </c>
      <c r="K160" s="18">
        <v>0.25800000000000001</v>
      </c>
      <c r="L160" s="17">
        <v>6830</v>
      </c>
      <c r="M160" s="80">
        <f>Table17[[#This Row],[TRUMP VOTES]]/C321</f>
        <v>0.33569251941413547</v>
      </c>
      <c r="N160" s="18">
        <v>0.73599999999999999</v>
      </c>
      <c r="O160" s="82">
        <f>1-(Table17[[#This Row],[NbP]]+Table17[[#This Row],[NbP2]])</f>
        <v>0.54659392509584193</v>
      </c>
    </row>
    <row r="162" spans="1:3" ht="21">
      <c r="A162" s="77" t="s">
        <v>1670</v>
      </c>
      <c r="B162" s="77" t="s">
        <v>69</v>
      </c>
      <c r="C162" s="77" t="s">
        <v>54</v>
      </c>
    </row>
    <row r="163" spans="1:3" ht="21">
      <c r="A163" s="52">
        <v>99</v>
      </c>
      <c r="B163" s="53" t="s">
        <v>1305</v>
      </c>
      <c r="C163" s="54">
        <v>18428</v>
      </c>
    </row>
    <row r="164" spans="1:3" ht="21">
      <c r="A164" s="52">
        <v>137</v>
      </c>
      <c r="B164" s="52" t="s">
        <v>1306</v>
      </c>
      <c r="C164" s="54">
        <v>8311</v>
      </c>
    </row>
    <row r="165" spans="1:3" ht="21">
      <c r="A165" s="52">
        <v>121</v>
      </c>
      <c r="B165" s="52" t="s">
        <v>1307</v>
      </c>
      <c r="C165" s="54">
        <v>11140</v>
      </c>
    </row>
    <row r="166" spans="1:3" ht="21">
      <c r="A166" s="52">
        <v>154</v>
      </c>
      <c r="B166" s="52" t="s">
        <v>268</v>
      </c>
      <c r="C166" s="54">
        <v>3090</v>
      </c>
    </row>
    <row r="167" spans="1:3" ht="21">
      <c r="A167" s="52">
        <v>45</v>
      </c>
      <c r="B167" s="53" t="s">
        <v>923</v>
      </c>
      <c r="C167" s="54">
        <v>45072</v>
      </c>
    </row>
    <row r="168" spans="1:3" ht="21">
      <c r="A168" s="52">
        <v>95</v>
      </c>
      <c r="B168" s="53" t="s">
        <v>1308</v>
      </c>
      <c r="C168" s="54">
        <v>18900</v>
      </c>
    </row>
    <row r="169" spans="1:3" ht="21">
      <c r="A169" s="52">
        <v>31</v>
      </c>
      <c r="B169" s="53" t="s">
        <v>1309</v>
      </c>
      <c r="C169" s="54">
        <v>81294</v>
      </c>
    </row>
    <row r="170" spans="1:3" ht="21">
      <c r="A170" s="52">
        <v>24</v>
      </c>
      <c r="B170" s="53" t="s">
        <v>1310</v>
      </c>
      <c r="C170" s="54">
        <v>106456</v>
      </c>
    </row>
    <row r="171" spans="1:3" ht="21">
      <c r="A171" s="52">
        <v>102</v>
      </c>
      <c r="B171" s="52" t="s">
        <v>1311</v>
      </c>
      <c r="C171" s="54">
        <v>16889</v>
      </c>
    </row>
    <row r="172" spans="1:3" ht="21">
      <c r="A172" s="52">
        <v>92</v>
      </c>
      <c r="B172" s="53" t="s">
        <v>1312</v>
      </c>
      <c r="C172" s="54">
        <v>19206</v>
      </c>
    </row>
    <row r="173" spans="1:3" ht="21">
      <c r="A173" s="52">
        <v>16</v>
      </c>
      <c r="B173" s="53" t="s">
        <v>924</v>
      </c>
      <c r="C173" s="54">
        <v>153026</v>
      </c>
    </row>
    <row r="174" spans="1:3" ht="21">
      <c r="A174" s="52">
        <v>116</v>
      </c>
      <c r="B174" s="52" t="s">
        <v>1313</v>
      </c>
      <c r="C174" s="54">
        <v>12870</v>
      </c>
    </row>
    <row r="175" spans="1:3" ht="21">
      <c r="A175" s="52">
        <v>94</v>
      </c>
      <c r="B175" s="53" t="s">
        <v>1314</v>
      </c>
      <c r="C175" s="54">
        <v>18924</v>
      </c>
    </row>
    <row r="176" spans="1:3" ht="21">
      <c r="A176" s="52">
        <v>106</v>
      </c>
      <c r="B176" s="52" t="s">
        <v>353</v>
      </c>
      <c r="C176" s="54">
        <v>15548</v>
      </c>
    </row>
    <row r="177" spans="1:3" ht="21">
      <c r="A177" s="52">
        <v>52</v>
      </c>
      <c r="B177" s="53" t="s">
        <v>1315</v>
      </c>
      <c r="C177" s="54">
        <v>38321</v>
      </c>
    </row>
    <row r="178" spans="1:3" ht="21">
      <c r="A178" s="52">
        <v>32</v>
      </c>
      <c r="B178" s="53" t="s">
        <v>1316</v>
      </c>
      <c r="C178" s="54">
        <v>77719</v>
      </c>
    </row>
    <row r="179" spans="1:3" ht="21">
      <c r="A179" s="52">
        <v>80</v>
      </c>
      <c r="B179" s="53" t="s">
        <v>1317</v>
      </c>
      <c r="C179" s="54">
        <v>22567</v>
      </c>
    </row>
    <row r="180" spans="1:3" ht="21">
      <c r="A180" s="52">
        <v>77</v>
      </c>
      <c r="B180" s="53" t="s">
        <v>1318</v>
      </c>
      <c r="C180" s="54">
        <v>24463</v>
      </c>
    </row>
    <row r="181" spans="1:3" ht="21">
      <c r="A181" s="52">
        <v>148</v>
      </c>
      <c r="B181" s="52" t="s">
        <v>358</v>
      </c>
      <c r="C181" s="54">
        <v>6301</v>
      </c>
    </row>
    <row r="182" spans="1:3" ht="21">
      <c r="A182" s="52">
        <v>41</v>
      </c>
      <c r="B182" s="53" t="s">
        <v>788</v>
      </c>
      <c r="C182" s="54">
        <v>53960</v>
      </c>
    </row>
    <row r="183" spans="1:3" ht="21">
      <c r="A183" s="52">
        <v>122</v>
      </c>
      <c r="B183" s="52" t="s">
        <v>1319</v>
      </c>
      <c r="C183" s="54">
        <v>10834</v>
      </c>
    </row>
    <row r="184" spans="1:3" ht="21">
      <c r="A184" s="52">
        <v>20</v>
      </c>
      <c r="B184" s="53" t="s">
        <v>178</v>
      </c>
      <c r="C184" s="54">
        <v>118692</v>
      </c>
    </row>
    <row r="185" spans="1:3" ht="21">
      <c r="A185" s="52">
        <v>36</v>
      </c>
      <c r="B185" s="53" t="s">
        <v>1320</v>
      </c>
      <c r="C185" s="54">
        <v>67181</v>
      </c>
    </row>
    <row r="186" spans="1:3" ht="21">
      <c r="A186" s="52">
        <v>115</v>
      </c>
      <c r="B186" s="52" t="s">
        <v>1321</v>
      </c>
      <c r="C186" s="54">
        <v>13032</v>
      </c>
    </row>
    <row r="187" spans="1:3" ht="21">
      <c r="A187" s="52">
        <v>5</v>
      </c>
      <c r="B187" s="53" t="s">
        <v>1322</v>
      </c>
      <c r="C187" s="54">
        <v>289649</v>
      </c>
    </row>
    <row r="188" spans="1:3" ht="21">
      <c r="A188" s="52">
        <v>125</v>
      </c>
      <c r="B188" s="52" t="s">
        <v>1323</v>
      </c>
      <c r="C188" s="54">
        <v>10470</v>
      </c>
    </row>
    <row r="189" spans="1:3" ht="21">
      <c r="A189" s="52">
        <v>75</v>
      </c>
      <c r="B189" s="53" t="s">
        <v>1324</v>
      </c>
      <c r="C189" s="54">
        <v>24826</v>
      </c>
    </row>
    <row r="190" spans="1:3" ht="21">
      <c r="A190" s="52">
        <v>7</v>
      </c>
      <c r="B190" s="53" t="s">
        <v>366</v>
      </c>
      <c r="C190" s="54">
        <v>253780</v>
      </c>
    </row>
    <row r="191" spans="1:3" ht="21">
      <c r="A191" s="52">
        <v>19</v>
      </c>
      <c r="B191" s="53" t="s">
        <v>929</v>
      </c>
      <c r="C191" s="54">
        <v>126952</v>
      </c>
    </row>
    <row r="192" spans="1:3" ht="21">
      <c r="A192" s="52">
        <v>156</v>
      </c>
      <c r="B192" s="52" t="s">
        <v>183</v>
      </c>
      <c r="C192" s="54">
        <v>2931</v>
      </c>
    </row>
    <row r="193" spans="1:3" ht="21">
      <c r="A193" s="52">
        <v>6</v>
      </c>
      <c r="B193" s="53" t="s">
        <v>1325</v>
      </c>
      <c r="C193" s="54">
        <v>287560</v>
      </c>
    </row>
    <row r="194" spans="1:3" ht="21">
      <c r="A194" s="52">
        <v>146</v>
      </c>
      <c r="B194" s="52" t="s">
        <v>1326</v>
      </c>
      <c r="C194" s="54">
        <v>6648</v>
      </c>
    </row>
    <row r="195" spans="1:3" ht="21">
      <c r="A195" s="52">
        <v>3</v>
      </c>
      <c r="B195" s="53" t="s">
        <v>1327</v>
      </c>
      <c r="C195" s="54">
        <v>756653</v>
      </c>
    </row>
    <row r="196" spans="1:3" ht="21">
      <c r="A196" s="52">
        <v>47</v>
      </c>
      <c r="B196" s="53" t="s">
        <v>185</v>
      </c>
      <c r="C196" s="54">
        <v>43070</v>
      </c>
    </row>
    <row r="197" spans="1:3" ht="21">
      <c r="A197" s="52">
        <v>43</v>
      </c>
      <c r="B197" s="53" t="s">
        <v>1328</v>
      </c>
      <c r="C197" s="54">
        <v>45510</v>
      </c>
    </row>
    <row r="198" spans="1:3" ht="21">
      <c r="A198" s="52">
        <v>15</v>
      </c>
      <c r="B198" s="53" t="s">
        <v>271</v>
      </c>
      <c r="C198" s="54">
        <v>154257</v>
      </c>
    </row>
    <row r="199" spans="1:3" ht="21">
      <c r="A199" s="52">
        <v>101</v>
      </c>
      <c r="B199" s="52" t="s">
        <v>1329</v>
      </c>
      <c r="C199" s="54">
        <v>17217</v>
      </c>
    </row>
    <row r="200" spans="1:3" ht="21">
      <c r="A200" s="52">
        <v>17</v>
      </c>
      <c r="B200" s="53" t="s">
        <v>1330</v>
      </c>
      <c r="C200" s="54">
        <v>145839</v>
      </c>
    </row>
    <row r="201" spans="1:3" ht="21">
      <c r="A201" s="52">
        <v>117</v>
      </c>
      <c r="B201" s="52" t="s">
        <v>1331</v>
      </c>
      <c r="C201" s="54">
        <v>12267</v>
      </c>
    </row>
    <row r="202" spans="1:3" ht="21">
      <c r="A202" s="52">
        <v>82</v>
      </c>
      <c r="B202" s="53" t="s">
        <v>1332</v>
      </c>
      <c r="C202" s="54">
        <v>22509</v>
      </c>
    </row>
    <row r="203" spans="1:3" ht="21">
      <c r="A203" s="52">
        <v>104</v>
      </c>
      <c r="B203" s="52" t="s">
        <v>1333</v>
      </c>
      <c r="C203" s="54">
        <v>16183</v>
      </c>
    </row>
    <row r="204" spans="1:3" ht="21">
      <c r="A204" s="52">
        <v>74</v>
      </c>
      <c r="B204" s="53" t="s">
        <v>385</v>
      </c>
      <c r="C204" s="54">
        <v>25277</v>
      </c>
    </row>
    <row r="205" spans="1:3" ht="21">
      <c r="A205" s="52">
        <v>68</v>
      </c>
      <c r="B205" s="53" t="s">
        <v>189</v>
      </c>
      <c r="C205" s="54">
        <v>26595</v>
      </c>
    </row>
    <row r="206" spans="1:3" ht="21">
      <c r="A206" s="52">
        <v>4</v>
      </c>
      <c r="B206" s="53" t="s">
        <v>190</v>
      </c>
      <c r="C206" s="54">
        <v>755287</v>
      </c>
    </row>
    <row r="207" spans="1:3" ht="21">
      <c r="A207" s="52">
        <v>87</v>
      </c>
      <c r="B207" s="53" t="s">
        <v>1334</v>
      </c>
      <c r="C207" s="54">
        <v>20725</v>
      </c>
    </row>
    <row r="208" spans="1:3" ht="21">
      <c r="A208" s="52">
        <v>113</v>
      </c>
      <c r="B208" s="52" t="s">
        <v>1335</v>
      </c>
      <c r="C208" s="54">
        <v>13571</v>
      </c>
    </row>
    <row r="209" spans="1:3" ht="21">
      <c r="A209" s="52">
        <v>29</v>
      </c>
      <c r="B209" s="53" t="s">
        <v>1336</v>
      </c>
      <c r="C209" s="54">
        <v>88696</v>
      </c>
    </row>
    <row r="210" spans="1:3" ht="21">
      <c r="A210" s="52">
        <v>18</v>
      </c>
      <c r="B210" s="53" t="s">
        <v>276</v>
      </c>
      <c r="C210" s="54">
        <v>145063</v>
      </c>
    </row>
    <row r="211" spans="1:3" ht="21">
      <c r="A211" s="52">
        <v>126</v>
      </c>
      <c r="B211" s="52" t="s">
        <v>1337</v>
      </c>
      <c r="C211" s="54">
        <v>10218</v>
      </c>
    </row>
    <row r="212" spans="1:3" ht="21">
      <c r="A212" s="52">
        <v>153</v>
      </c>
      <c r="B212" s="52" t="s">
        <v>1338</v>
      </c>
      <c r="C212" s="54">
        <v>3944</v>
      </c>
    </row>
    <row r="213" spans="1:3" ht="21">
      <c r="A213" s="52">
        <v>38</v>
      </c>
      <c r="B213" s="53" t="s">
        <v>1339</v>
      </c>
      <c r="C213" s="54">
        <v>62241</v>
      </c>
    </row>
    <row r="214" spans="1:3" ht="21">
      <c r="A214" s="52">
        <v>93</v>
      </c>
      <c r="B214" s="53" t="s">
        <v>1161</v>
      </c>
      <c r="C214" s="54">
        <v>19164</v>
      </c>
    </row>
    <row r="215" spans="1:3" ht="21">
      <c r="A215" s="52">
        <v>81</v>
      </c>
      <c r="B215" s="53" t="s">
        <v>1340</v>
      </c>
      <c r="C215" s="54">
        <v>22525</v>
      </c>
    </row>
    <row r="216" spans="1:3" ht="21">
      <c r="A216" s="52">
        <v>123</v>
      </c>
      <c r="B216" s="52" t="s">
        <v>1341</v>
      </c>
      <c r="C216" s="54">
        <v>10671</v>
      </c>
    </row>
    <row r="217" spans="1:3" ht="21">
      <c r="A217" s="52">
        <v>72</v>
      </c>
      <c r="B217" s="53" t="s">
        <v>401</v>
      </c>
      <c r="C217" s="54">
        <v>25797</v>
      </c>
    </row>
    <row r="218" spans="1:3" ht="21">
      <c r="A218" s="52">
        <v>22</v>
      </c>
      <c r="B218" s="53" t="s">
        <v>193</v>
      </c>
      <c r="C218" s="54">
        <v>113544</v>
      </c>
    </row>
    <row r="219" spans="1:3" ht="21">
      <c r="A219" s="52">
        <v>26</v>
      </c>
      <c r="B219" s="53" t="s">
        <v>403</v>
      </c>
      <c r="C219" s="54">
        <v>97805</v>
      </c>
    </row>
    <row r="220" spans="1:3" ht="21">
      <c r="A220" s="52">
        <v>8</v>
      </c>
      <c r="B220" s="53" t="s">
        <v>1342</v>
      </c>
      <c r="C220" s="54">
        <v>236605</v>
      </c>
    </row>
    <row r="221" spans="1:3" ht="21">
      <c r="A221" s="52">
        <v>79</v>
      </c>
      <c r="B221" s="53" t="s">
        <v>195</v>
      </c>
      <c r="C221" s="54">
        <v>23015</v>
      </c>
    </row>
    <row r="222" spans="1:3" ht="21">
      <c r="A222" s="52">
        <v>1</v>
      </c>
      <c r="B222" s="53" t="s">
        <v>1343</v>
      </c>
      <c r="C222" s="54">
        <v>1051550</v>
      </c>
    </row>
    <row r="223" spans="1:3" ht="21">
      <c r="A223" s="52">
        <v>57</v>
      </c>
      <c r="B223" s="53" t="s">
        <v>832</v>
      </c>
      <c r="C223" s="54">
        <v>30986</v>
      </c>
    </row>
    <row r="224" spans="1:3" ht="21">
      <c r="A224" s="52">
        <v>155</v>
      </c>
      <c r="B224" s="52" t="s">
        <v>1344</v>
      </c>
      <c r="C224" s="54">
        <v>2984</v>
      </c>
    </row>
    <row r="225" spans="1:3" ht="21">
      <c r="A225" s="52">
        <v>30</v>
      </c>
      <c r="B225" s="53" t="s">
        <v>1345</v>
      </c>
      <c r="C225" s="54">
        <v>85008</v>
      </c>
    </row>
    <row r="226" spans="1:3" ht="21">
      <c r="A226" s="52">
        <v>40</v>
      </c>
      <c r="B226" s="53" t="s">
        <v>1346</v>
      </c>
      <c r="C226" s="54">
        <v>57756</v>
      </c>
    </row>
    <row r="227" spans="1:3" ht="21">
      <c r="A227" s="52">
        <v>76</v>
      </c>
      <c r="B227" s="53" t="s">
        <v>1347</v>
      </c>
      <c r="C227" s="54">
        <v>24693</v>
      </c>
    </row>
    <row r="228" spans="1:3" ht="21">
      <c r="A228" s="52">
        <v>100</v>
      </c>
      <c r="B228" s="53" t="s">
        <v>199</v>
      </c>
      <c r="C228" s="54">
        <v>17808</v>
      </c>
    </row>
    <row r="229" spans="1:3" ht="21">
      <c r="A229" s="52">
        <v>2</v>
      </c>
      <c r="B229" s="53" t="s">
        <v>1348</v>
      </c>
      <c r="C229" s="54">
        <v>926414</v>
      </c>
    </row>
    <row r="230" spans="1:3" ht="21">
      <c r="A230" s="52">
        <v>44</v>
      </c>
      <c r="B230" s="53" t="s">
        <v>1349</v>
      </c>
      <c r="C230" s="54">
        <v>45204</v>
      </c>
    </row>
    <row r="231" spans="1:3" ht="21">
      <c r="A231" s="52">
        <v>11</v>
      </c>
      <c r="B231" s="53" t="s">
        <v>421</v>
      </c>
      <c r="C231" s="54">
        <v>201434</v>
      </c>
    </row>
    <row r="232" spans="1:3" ht="21">
      <c r="A232" s="52">
        <v>135</v>
      </c>
      <c r="B232" s="52" t="s">
        <v>203</v>
      </c>
      <c r="C232" s="54">
        <v>8500</v>
      </c>
    </row>
    <row r="233" spans="1:3" ht="21">
      <c r="A233" s="52">
        <v>63</v>
      </c>
      <c r="B233" s="53" t="s">
        <v>1350</v>
      </c>
      <c r="C233" s="54">
        <v>29608</v>
      </c>
    </row>
    <row r="234" spans="1:3" ht="21">
      <c r="A234" s="52">
        <v>54</v>
      </c>
      <c r="B234" s="53" t="s">
        <v>423</v>
      </c>
      <c r="C234" s="54">
        <v>34676</v>
      </c>
    </row>
    <row r="235" spans="1:3" ht="21">
      <c r="A235" s="52">
        <v>70</v>
      </c>
      <c r="B235" s="53" t="s">
        <v>1351</v>
      </c>
      <c r="C235" s="54">
        <v>25981</v>
      </c>
    </row>
    <row r="236" spans="1:3" ht="21">
      <c r="A236" s="52">
        <v>119</v>
      </c>
      <c r="B236" s="52" t="s">
        <v>1352</v>
      </c>
      <c r="C236" s="54">
        <v>11785</v>
      </c>
    </row>
    <row r="237" spans="1:3" ht="21">
      <c r="A237" s="52">
        <v>9</v>
      </c>
      <c r="B237" s="53" t="s">
        <v>209</v>
      </c>
      <c r="C237" s="54">
        <v>229994</v>
      </c>
    </row>
    <row r="238" spans="1:3" ht="21">
      <c r="A238" s="52">
        <v>14</v>
      </c>
      <c r="B238" s="53" t="s">
        <v>211</v>
      </c>
      <c r="C238" s="54">
        <v>155317</v>
      </c>
    </row>
    <row r="239" spans="1:3" ht="21">
      <c r="A239" s="52">
        <v>129</v>
      </c>
      <c r="B239" s="52" t="s">
        <v>1353</v>
      </c>
      <c r="C239" s="54">
        <v>9379</v>
      </c>
    </row>
    <row r="240" spans="1:3" ht="21">
      <c r="A240" s="52">
        <v>33</v>
      </c>
      <c r="B240" s="53" t="s">
        <v>213</v>
      </c>
      <c r="C240" s="54">
        <v>70467</v>
      </c>
    </row>
    <row r="241" spans="1:3" ht="21">
      <c r="A241" s="52">
        <v>111</v>
      </c>
      <c r="B241" s="52" t="s">
        <v>440</v>
      </c>
      <c r="C241" s="54">
        <v>14074</v>
      </c>
    </row>
    <row r="242" spans="1:3" ht="21">
      <c r="A242" s="52">
        <v>108</v>
      </c>
      <c r="B242" s="52" t="s">
        <v>441</v>
      </c>
      <c r="C242" s="54">
        <v>15063</v>
      </c>
    </row>
    <row r="243" spans="1:3" ht="21">
      <c r="A243" s="52">
        <v>107</v>
      </c>
      <c r="B243" s="52" t="s">
        <v>214</v>
      </c>
      <c r="C243" s="54">
        <v>15489</v>
      </c>
    </row>
    <row r="244" spans="1:3" ht="21">
      <c r="A244" s="52">
        <v>132</v>
      </c>
      <c r="B244" s="52" t="s">
        <v>1354</v>
      </c>
      <c r="C244" s="54">
        <v>8787</v>
      </c>
    </row>
    <row r="245" spans="1:3" ht="21">
      <c r="A245" s="52">
        <v>128</v>
      </c>
      <c r="B245" s="52" t="s">
        <v>215</v>
      </c>
      <c r="C245" s="54">
        <v>9717</v>
      </c>
    </row>
    <row r="246" spans="1:3" ht="21">
      <c r="A246" s="52">
        <v>64</v>
      </c>
      <c r="B246" s="53" t="s">
        <v>444</v>
      </c>
      <c r="C246" s="54">
        <v>28622</v>
      </c>
    </row>
    <row r="247" spans="1:3" ht="21">
      <c r="A247" s="52">
        <v>96</v>
      </c>
      <c r="B247" s="53" t="s">
        <v>455</v>
      </c>
      <c r="C247" s="54">
        <v>18834</v>
      </c>
    </row>
    <row r="248" spans="1:3" ht="21">
      <c r="A248" s="52">
        <v>124</v>
      </c>
      <c r="B248" s="52" t="s">
        <v>1355</v>
      </c>
      <c r="C248" s="54">
        <v>10534</v>
      </c>
    </row>
    <row r="249" spans="1:3" ht="21">
      <c r="A249" s="52">
        <v>42</v>
      </c>
      <c r="B249" s="53" t="s">
        <v>1356</v>
      </c>
      <c r="C249" s="54">
        <v>47404</v>
      </c>
    </row>
    <row r="250" spans="1:3" ht="21">
      <c r="A250" s="52">
        <v>60</v>
      </c>
      <c r="B250" s="53" t="s">
        <v>459</v>
      </c>
      <c r="C250" s="54">
        <v>29735</v>
      </c>
    </row>
    <row r="251" spans="1:3" ht="21">
      <c r="A251" s="52">
        <v>39</v>
      </c>
      <c r="B251" s="53" t="s">
        <v>461</v>
      </c>
      <c r="C251" s="54">
        <v>62039</v>
      </c>
    </row>
    <row r="252" spans="1:3" ht="21">
      <c r="A252" s="52">
        <v>141</v>
      </c>
      <c r="B252" s="52" t="s">
        <v>221</v>
      </c>
      <c r="C252" s="54">
        <v>7929</v>
      </c>
    </row>
    <row r="253" spans="1:3" ht="21">
      <c r="A253" s="52">
        <v>91</v>
      </c>
      <c r="B253" s="53" t="s">
        <v>1357</v>
      </c>
      <c r="C253" s="54">
        <v>19236</v>
      </c>
    </row>
    <row r="254" spans="1:3" ht="21">
      <c r="A254" s="52">
        <v>21</v>
      </c>
      <c r="B254" s="53" t="s">
        <v>941</v>
      </c>
      <c r="C254" s="54">
        <v>116436</v>
      </c>
    </row>
    <row r="255" spans="1:3" ht="21">
      <c r="A255" s="52">
        <v>55</v>
      </c>
      <c r="B255" s="53" t="s">
        <v>1358</v>
      </c>
      <c r="C255" s="54">
        <v>33009</v>
      </c>
    </row>
    <row r="256" spans="1:3" ht="21">
      <c r="A256" s="52">
        <v>114</v>
      </c>
      <c r="B256" s="52" t="s">
        <v>225</v>
      </c>
      <c r="C256" s="54">
        <v>13107</v>
      </c>
    </row>
    <row r="257" spans="1:3" ht="21">
      <c r="A257" s="52">
        <v>62</v>
      </c>
      <c r="B257" s="53" t="s">
        <v>226</v>
      </c>
      <c r="C257" s="54">
        <v>29624</v>
      </c>
    </row>
    <row r="258" spans="1:3" ht="21">
      <c r="A258" s="52">
        <v>136</v>
      </c>
      <c r="B258" s="52" t="s">
        <v>227</v>
      </c>
      <c r="C258" s="54">
        <v>8450</v>
      </c>
    </row>
    <row r="259" spans="1:3" ht="21">
      <c r="A259" s="52">
        <v>85</v>
      </c>
      <c r="B259" s="53" t="s">
        <v>1359</v>
      </c>
      <c r="C259" s="54">
        <v>21404</v>
      </c>
    </row>
    <row r="260" spans="1:3" ht="21">
      <c r="A260" s="52">
        <v>110</v>
      </c>
      <c r="B260" s="52" t="s">
        <v>1360</v>
      </c>
      <c r="C260" s="54">
        <v>14217</v>
      </c>
    </row>
    <row r="261" spans="1:3" ht="21">
      <c r="A261" s="52">
        <v>86</v>
      </c>
      <c r="B261" s="53" t="s">
        <v>1361</v>
      </c>
      <c r="C261" s="54">
        <v>21080</v>
      </c>
    </row>
    <row r="262" spans="1:3" ht="21">
      <c r="A262" s="52">
        <v>150</v>
      </c>
      <c r="B262" s="52" t="s">
        <v>1362</v>
      </c>
      <c r="C262" s="54">
        <v>5725</v>
      </c>
    </row>
    <row r="263" spans="1:3" ht="21">
      <c r="A263" s="52">
        <v>83</v>
      </c>
      <c r="B263" s="53" t="s">
        <v>481</v>
      </c>
      <c r="C263" s="54">
        <v>22072</v>
      </c>
    </row>
    <row r="264" spans="1:3" ht="21">
      <c r="A264" s="52">
        <v>66</v>
      </c>
      <c r="B264" s="53" t="s">
        <v>231</v>
      </c>
      <c r="C264" s="54">
        <v>27455</v>
      </c>
    </row>
    <row r="265" spans="1:3" ht="21">
      <c r="A265" s="52">
        <v>130</v>
      </c>
      <c r="B265" s="52" t="s">
        <v>232</v>
      </c>
      <c r="C265" s="54">
        <v>9069</v>
      </c>
    </row>
    <row r="266" spans="1:3" ht="21">
      <c r="A266" s="52">
        <v>97</v>
      </c>
      <c r="B266" s="53" t="s">
        <v>234</v>
      </c>
      <c r="C266" s="54">
        <v>18832</v>
      </c>
    </row>
    <row r="267" spans="1:3" ht="21">
      <c r="A267" s="52">
        <v>50</v>
      </c>
      <c r="B267" s="53" t="s">
        <v>1363</v>
      </c>
      <c r="C267" s="54">
        <v>39789</v>
      </c>
    </row>
    <row r="268" spans="1:3" ht="21">
      <c r="A268" s="52">
        <v>12</v>
      </c>
      <c r="B268" s="53" t="s">
        <v>1364</v>
      </c>
      <c r="C268" s="54">
        <v>195418</v>
      </c>
    </row>
    <row r="269" spans="1:3" ht="21">
      <c r="A269" s="52">
        <v>23</v>
      </c>
      <c r="B269" s="53" t="s">
        <v>487</v>
      </c>
      <c r="C269" s="54">
        <v>109835</v>
      </c>
    </row>
    <row r="270" spans="1:3" ht="21">
      <c r="A270" s="52">
        <v>51</v>
      </c>
      <c r="B270" s="53" t="s">
        <v>1365</v>
      </c>
      <c r="C270" s="54">
        <v>39194</v>
      </c>
    </row>
    <row r="271" spans="1:3" ht="21">
      <c r="A271" s="52">
        <v>109</v>
      </c>
      <c r="B271" s="52" t="s">
        <v>1366</v>
      </c>
      <c r="C271" s="54">
        <v>15040</v>
      </c>
    </row>
    <row r="272" spans="1:3" ht="21">
      <c r="A272" s="52">
        <v>13</v>
      </c>
      <c r="B272" s="53" t="s">
        <v>1367</v>
      </c>
      <c r="C272" s="54">
        <v>164440</v>
      </c>
    </row>
    <row r="273" spans="1:3" ht="21">
      <c r="A273" s="52">
        <v>65</v>
      </c>
      <c r="B273" s="53" t="s">
        <v>1368</v>
      </c>
      <c r="C273" s="54">
        <v>27502</v>
      </c>
    </row>
    <row r="274" spans="1:3" ht="21">
      <c r="A274" s="52">
        <v>56</v>
      </c>
      <c r="B274" s="53" t="s">
        <v>944</v>
      </c>
      <c r="C274" s="54">
        <v>32002</v>
      </c>
    </row>
    <row r="275" spans="1:3" ht="21">
      <c r="A275" s="52">
        <v>90</v>
      </c>
      <c r="B275" s="53" t="s">
        <v>1369</v>
      </c>
      <c r="C275" s="54">
        <v>19336</v>
      </c>
    </row>
    <row r="276" spans="1:3" ht="21">
      <c r="A276" s="52">
        <v>98</v>
      </c>
      <c r="B276" s="53" t="s">
        <v>945</v>
      </c>
      <c r="C276" s="54">
        <v>18565</v>
      </c>
    </row>
    <row r="277" spans="1:3" ht="21">
      <c r="A277" s="52">
        <v>48</v>
      </c>
      <c r="B277" s="53" t="s">
        <v>239</v>
      </c>
      <c r="C277" s="54">
        <v>42251</v>
      </c>
    </row>
    <row r="278" spans="1:3" ht="21">
      <c r="A278" s="52">
        <v>120</v>
      </c>
      <c r="B278" s="52" t="s">
        <v>1370</v>
      </c>
      <c r="C278" s="54">
        <v>11185</v>
      </c>
    </row>
    <row r="279" spans="1:3" ht="21">
      <c r="A279" s="52">
        <v>84</v>
      </c>
      <c r="B279" s="53" t="s">
        <v>240</v>
      </c>
      <c r="C279" s="54">
        <v>21906</v>
      </c>
    </row>
    <row r="280" spans="1:3" ht="21">
      <c r="A280" s="52">
        <v>158</v>
      </c>
      <c r="B280" s="52" t="s">
        <v>1371</v>
      </c>
      <c r="C280" s="54">
        <v>2290</v>
      </c>
    </row>
    <row r="281" spans="1:3" ht="21">
      <c r="A281" s="52">
        <v>103</v>
      </c>
      <c r="B281" s="52" t="s">
        <v>1372</v>
      </c>
      <c r="C281" s="54">
        <v>16859</v>
      </c>
    </row>
    <row r="282" spans="1:3" ht="21">
      <c r="A282" s="52">
        <v>144</v>
      </c>
      <c r="B282" s="52" t="s">
        <v>849</v>
      </c>
      <c r="C282" s="54">
        <v>6888</v>
      </c>
    </row>
    <row r="283" spans="1:3" ht="21">
      <c r="A283" s="52">
        <v>10</v>
      </c>
      <c r="B283" s="53" t="s">
        <v>1373</v>
      </c>
      <c r="C283" s="54">
        <v>202178</v>
      </c>
    </row>
    <row r="284" spans="1:3" ht="21">
      <c r="A284" s="52">
        <v>28</v>
      </c>
      <c r="B284" s="53" t="s">
        <v>1374</v>
      </c>
      <c r="C284" s="54">
        <v>90155</v>
      </c>
    </row>
    <row r="285" spans="1:3" ht="21">
      <c r="A285" s="52">
        <v>152</v>
      </c>
      <c r="B285" s="52" t="s">
        <v>1375</v>
      </c>
      <c r="C285" s="54">
        <v>5215</v>
      </c>
    </row>
    <row r="286" spans="1:3" ht="21">
      <c r="A286" s="52">
        <v>112</v>
      </c>
      <c r="B286" s="52" t="s">
        <v>1376</v>
      </c>
      <c r="C286" s="54">
        <v>13977</v>
      </c>
    </row>
    <row r="287" spans="1:3" ht="21">
      <c r="A287" s="52">
        <v>138</v>
      </c>
      <c r="B287" s="52" t="s">
        <v>1377</v>
      </c>
      <c r="C287" s="54">
        <v>8218</v>
      </c>
    </row>
    <row r="288" spans="1:3" ht="21">
      <c r="A288" s="52">
        <v>37</v>
      </c>
      <c r="B288" s="53" t="s">
        <v>1378</v>
      </c>
      <c r="C288" s="54">
        <v>66043</v>
      </c>
    </row>
    <row r="289" spans="1:3" ht="21">
      <c r="A289" s="52">
        <v>71</v>
      </c>
      <c r="B289" s="53" t="s">
        <v>520</v>
      </c>
      <c r="C289" s="54">
        <v>25934</v>
      </c>
    </row>
    <row r="290" spans="1:3" ht="21">
      <c r="A290" s="52">
        <v>147</v>
      </c>
      <c r="B290" s="52" t="s">
        <v>249</v>
      </c>
      <c r="C290" s="54">
        <v>6446</v>
      </c>
    </row>
    <row r="291" spans="1:3" ht="21">
      <c r="A291" s="52">
        <v>61</v>
      </c>
      <c r="B291" s="53" t="s">
        <v>948</v>
      </c>
      <c r="C291" s="54">
        <v>29714</v>
      </c>
    </row>
    <row r="292" spans="1:3" ht="21">
      <c r="A292" s="52">
        <v>149</v>
      </c>
      <c r="B292" s="52" t="s">
        <v>1379</v>
      </c>
      <c r="C292" s="54">
        <v>6245</v>
      </c>
    </row>
    <row r="293" spans="1:3" ht="21">
      <c r="A293" s="52">
        <v>159</v>
      </c>
      <c r="B293" s="52" t="s">
        <v>1380</v>
      </c>
      <c r="C293" s="54">
        <v>1596</v>
      </c>
    </row>
    <row r="294" spans="1:3" ht="21">
      <c r="A294" s="52">
        <v>73</v>
      </c>
      <c r="B294" s="53" t="s">
        <v>1381</v>
      </c>
      <c r="C294" s="54">
        <v>25392</v>
      </c>
    </row>
    <row r="295" spans="1:3" ht="21">
      <c r="A295" s="52">
        <v>140</v>
      </c>
      <c r="B295" s="52" t="s">
        <v>526</v>
      </c>
      <c r="C295" s="54">
        <v>8126</v>
      </c>
    </row>
    <row r="296" spans="1:3" ht="21">
      <c r="A296" s="52">
        <v>105</v>
      </c>
      <c r="B296" s="52" t="s">
        <v>1382</v>
      </c>
      <c r="C296" s="54">
        <v>15871</v>
      </c>
    </row>
    <row r="297" spans="1:3" ht="21">
      <c r="A297" s="52">
        <v>134</v>
      </c>
      <c r="B297" s="52" t="s">
        <v>527</v>
      </c>
      <c r="C297" s="54">
        <v>8654</v>
      </c>
    </row>
    <row r="298" spans="1:3" ht="21">
      <c r="A298" s="52">
        <v>46</v>
      </c>
      <c r="B298" s="53" t="s">
        <v>1383</v>
      </c>
      <c r="C298" s="54">
        <v>44545</v>
      </c>
    </row>
    <row r="299" spans="1:3" ht="21">
      <c r="A299" s="52">
        <v>49</v>
      </c>
      <c r="B299" s="53" t="s">
        <v>1384</v>
      </c>
      <c r="C299" s="54">
        <v>40590</v>
      </c>
    </row>
    <row r="300" spans="1:3" ht="21">
      <c r="A300" s="52">
        <v>67</v>
      </c>
      <c r="B300" s="53" t="s">
        <v>1385</v>
      </c>
      <c r="C300" s="54">
        <v>26947</v>
      </c>
    </row>
    <row r="301" spans="1:3" ht="21">
      <c r="A301" s="52">
        <v>118</v>
      </c>
      <c r="B301" s="52" t="s">
        <v>1386</v>
      </c>
      <c r="C301" s="54">
        <v>11815</v>
      </c>
    </row>
    <row r="302" spans="1:3" ht="21">
      <c r="A302" s="52">
        <v>145</v>
      </c>
      <c r="B302" s="52" t="s">
        <v>1387</v>
      </c>
      <c r="C302" s="54">
        <v>6787</v>
      </c>
    </row>
    <row r="303" spans="1:3" ht="21">
      <c r="A303" s="52">
        <v>34</v>
      </c>
      <c r="B303" s="53" t="s">
        <v>1388</v>
      </c>
      <c r="C303" s="54">
        <v>70095</v>
      </c>
    </row>
    <row r="304" spans="1:3" ht="21">
      <c r="A304" s="52">
        <v>142</v>
      </c>
      <c r="B304" s="52" t="s">
        <v>1389</v>
      </c>
      <c r="C304" s="54">
        <v>7920</v>
      </c>
    </row>
    <row r="305" spans="1:3" ht="21">
      <c r="A305" s="52">
        <v>139</v>
      </c>
      <c r="B305" s="52" t="s">
        <v>1390</v>
      </c>
      <c r="C305" s="54">
        <v>8195</v>
      </c>
    </row>
    <row r="306" spans="1:3" ht="21">
      <c r="A306" s="52">
        <v>78</v>
      </c>
      <c r="B306" s="53" t="s">
        <v>255</v>
      </c>
      <c r="C306" s="54">
        <v>23999</v>
      </c>
    </row>
    <row r="307" spans="1:3" ht="21">
      <c r="A307" s="52">
        <v>69</v>
      </c>
      <c r="B307" s="53" t="s">
        <v>1391</v>
      </c>
      <c r="C307" s="54">
        <v>26329</v>
      </c>
    </row>
    <row r="308" spans="1:3" ht="21">
      <c r="A308" s="52">
        <v>35</v>
      </c>
      <c r="B308" s="53" t="s">
        <v>541</v>
      </c>
      <c r="C308" s="54">
        <v>69398</v>
      </c>
    </row>
    <row r="309" spans="1:3" ht="21">
      <c r="A309" s="52">
        <v>27</v>
      </c>
      <c r="B309" s="53" t="s">
        <v>1392</v>
      </c>
      <c r="C309" s="54">
        <v>93284</v>
      </c>
    </row>
    <row r="310" spans="1:3" ht="21">
      <c r="A310" s="52">
        <v>53</v>
      </c>
      <c r="B310" s="53" t="s">
        <v>1393</v>
      </c>
      <c r="C310" s="54">
        <v>35745</v>
      </c>
    </row>
    <row r="311" spans="1:3" ht="21">
      <c r="A311" s="52">
        <v>151</v>
      </c>
      <c r="B311" s="52" t="s">
        <v>257</v>
      </c>
      <c r="C311" s="54">
        <v>5259</v>
      </c>
    </row>
    <row r="312" spans="1:3" ht="21">
      <c r="A312" s="52">
        <v>89</v>
      </c>
      <c r="B312" s="53" t="s">
        <v>258</v>
      </c>
      <c r="C312" s="54">
        <v>20316</v>
      </c>
    </row>
    <row r="313" spans="1:3" ht="21">
      <c r="A313" s="52">
        <v>59</v>
      </c>
      <c r="B313" s="53" t="s">
        <v>259</v>
      </c>
      <c r="C313" s="54">
        <v>29959</v>
      </c>
    </row>
    <row r="314" spans="1:3" ht="21">
      <c r="A314" s="52">
        <v>157</v>
      </c>
      <c r="B314" s="52" t="s">
        <v>853</v>
      </c>
      <c r="C314" s="54">
        <v>2587</v>
      </c>
    </row>
    <row r="315" spans="1:3" ht="21">
      <c r="A315" s="52">
        <v>143</v>
      </c>
      <c r="B315" s="52" t="s">
        <v>293</v>
      </c>
      <c r="C315" s="54">
        <v>7897</v>
      </c>
    </row>
    <row r="316" spans="1:3" ht="21">
      <c r="A316" s="52">
        <v>58</v>
      </c>
      <c r="B316" s="53" t="s">
        <v>261</v>
      </c>
      <c r="C316" s="54">
        <v>29962</v>
      </c>
    </row>
    <row r="317" spans="1:3" ht="21">
      <c r="A317" s="52">
        <v>25</v>
      </c>
      <c r="B317" s="53" t="s">
        <v>1394</v>
      </c>
      <c r="C317" s="54">
        <v>104122</v>
      </c>
    </row>
    <row r="318" spans="1:3" ht="21">
      <c r="A318" s="52">
        <v>133</v>
      </c>
      <c r="B318" s="52" t="s">
        <v>952</v>
      </c>
      <c r="C318" s="54">
        <v>8701</v>
      </c>
    </row>
    <row r="319" spans="1:3" ht="21">
      <c r="A319" s="52">
        <v>127</v>
      </c>
      <c r="B319" s="52" t="s">
        <v>1395</v>
      </c>
      <c r="C319" s="54">
        <v>9797</v>
      </c>
    </row>
    <row r="320" spans="1:3" ht="21">
      <c r="A320" s="52">
        <v>131</v>
      </c>
      <c r="B320" s="52" t="s">
        <v>1396</v>
      </c>
      <c r="C320" s="54">
        <v>8945</v>
      </c>
    </row>
    <row r="321" spans="1:3" ht="21">
      <c r="A321" s="52">
        <v>88</v>
      </c>
      <c r="B321" s="53" t="s">
        <v>1397</v>
      </c>
      <c r="C321" s="54">
        <v>20346</v>
      </c>
    </row>
  </sheetData>
  <hyperlinks>
    <hyperlink ref="B222" r:id="rId1" display="https://www.georgia-demographics.com/fulton-county-demographics" xr:uid="{F24C144D-18D7-0840-9CB5-8E38580FD305}"/>
    <hyperlink ref="B229" r:id="rId2" display="https://www.georgia-demographics.com/gwinnett-county-demographics" xr:uid="{E0228006-B5F5-B242-A176-EC93E342A323}"/>
    <hyperlink ref="B195" r:id="rId3" display="https://www.georgia-demographics.com/cobb-county-demographics" xr:uid="{5040DC33-B935-5A45-BD93-E4F7EE1307BB}"/>
    <hyperlink ref="B206" r:id="rId4" display="https://www.georgia-demographics.com/dekalb-county-demographics" xr:uid="{F35B67F9-1B07-C442-84F9-8C752EC0C9EE}"/>
    <hyperlink ref="B187" r:id="rId5" display="https://www.georgia-demographics.com/chatham-county-demographics" xr:uid="{69A96C8D-97F6-6045-8222-79371CCF0606}"/>
    <hyperlink ref="B193" r:id="rId6" display="https://www.georgia-demographics.com/clayton-county-demographics" xr:uid="{8D2519FF-43D7-5347-81B0-3A2B72F8F6D0}"/>
    <hyperlink ref="B190" r:id="rId7" display="https://www.georgia-demographics.com/cherokee-county-demographics" xr:uid="{7AD981A5-3D29-4C40-9100-B71DA6C81C3A}"/>
    <hyperlink ref="B220" r:id="rId8" display="https://www.georgia-demographics.com/forsyth-county-demographics" xr:uid="{F798725B-340D-4C47-977C-45BF1882F77E}"/>
    <hyperlink ref="B237" r:id="rId9" display="https://www.georgia-demographics.com/henry-county-demographics" xr:uid="{2B72770D-3A70-1C46-BCBB-493109BF453A}"/>
    <hyperlink ref="B283" r:id="rId10" display="https://www.georgia-demographics.com/richmond-county-demographics" xr:uid="{0957A424-7E1B-2546-81FC-7D659F9FD5B9}"/>
    <hyperlink ref="B231" r:id="rId11" display="https://www.georgia-demographics.com/hall-county-demographics" xr:uid="{9C21C217-3B0D-824A-8520-0C5E43F84FD7}"/>
    <hyperlink ref="B268" r:id="rId12" display="https://www.georgia-demographics.com/muscogee-county-demographics" xr:uid="{0A918351-5DF4-E040-B815-75CAF5E4301B}"/>
    <hyperlink ref="B272" r:id="rId13" display="https://www.georgia-demographics.com/paulding-county-demographics" xr:uid="{C0E14DA7-DC17-E84B-97C9-A58F3DE344BB}"/>
    <hyperlink ref="B238" r:id="rId14" display="https://www.georgia-demographics.com/houston-county-demographics" xr:uid="{64A5F286-C420-544C-9F18-B687B4AB76EB}"/>
    <hyperlink ref="B198" r:id="rId15" display="https://www.georgia-demographics.com/columbia-county-demographics" xr:uid="{100AE93B-2843-804B-B3C6-B80334A49F23}"/>
    <hyperlink ref="B173" r:id="rId16" display="https://www.georgia-demographics.com/bibb-county-demographics" xr:uid="{A7BEA9C7-07FE-644E-A8A7-CFB6BDC2EE96}"/>
    <hyperlink ref="B200" r:id="rId17" display="https://www.georgia-demographics.com/coweta-county-demographics" xr:uid="{8FB49E00-F680-1245-A313-6CB6B622C4D5}"/>
    <hyperlink ref="B210" r:id="rId18" display="https://www.georgia-demographics.com/douglas-county-demographics" xr:uid="{4D0842D6-9F6A-DD4C-B397-416A3A610564}"/>
    <hyperlink ref="B191" r:id="rId19" display="https://www.georgia-demographics.com/clarke-county-demographics" xr:uid="{5794E74E-08C2-9142-A1EB-914AF95C2E4A}"/>
    <hyperlink ref="B184" r:id="rId20" display="https://www.georgia-demographics.com/carroll-county-demographics" xr:uid="{BA0A6D98-CB91-8E41-932D-0778A42310E2}"/>
    <hyperlink ref="B254" r:id="rId21" display="https://www.georgia-demographics.com/lowndes-county-demographics" xr:uid="{E45E66C0-FA40-DD48-93B3-FEF8D01C6CF6}"/>
    <hyperlink ref="B218" r:id="rId22" display="https://www.georgia-demographics.com/fayette-county-demographics" xr:uid="{B07FF894-1CAB-C646-BC6E-21BF3D05522D}"/>
    <hyperlink ref="B269" r:id="rId23" display="https://www.georgia-demographics.com/newton-county-demographics" xr:uid="{E8300F8D-CF5B-2844-8545-691AE651C9C8}"/>
    <hyperlink ref="B170" r:id="rId24" display="https://www.georgia-demographics.com/bartow-county-demographics" xr:uid="{E2B8FDB8-8CB1-D048-B656-449DD5503D3C}"/>
    <hyperlink ref="B317" r:id="rId25" display="https://www.georgia-demographics.com/whitfield-county-demographics" xr:uid="{28FB5B77-6475-ED41-A026-E0276F387BC1}"/>
    <hyperlink ref="B219" r:id="rId26" display="https://www.georgia-demographics.com/floyd-county-demographics" xr:uid="{39E0F94D-73FF-C848-87ED-77B31E7B3E82}"/>
    <hyperlink ref="B309" r:id="rId27" display="https://www.georgia-demographics.com/walton-county-demographics" xr:uid="{95A60655-1313-8947-A940-792F1545B489}"/>
    <hyperlink ref="B284" r:id="rId28" display="https://www.georgia-demographics.com/rockdale-county-demographics" xr:uid="{FE954B4D-B141-BA44-B11A-BBF3905F99CF}"/>
    <hyperlink ref="B209" r:id="rId29" display="https://www.georgia-demographics.com/dougherty-county-demographics" xr:uid="{CE15926A-5E37-E549-AF81-463774147566}"/>
    <hyperlink ref="B225" r:id="rId30" display="https://www.georgia-demographics.com/glynn-county-demographics" xr:uid="{362EB85E-3F09-7740-9A3C-64DA8F511585}"/>
    <hyperlink ref="B169" r:id="rId31" display="https://www.georgia-demographics.com/barrow-county-demographics" xr:uid="{59E89DEB-CF17-234F-8A39-34312503F407}"/>
    <hyperlink ref="B178" r:id="rId32" display="https://www.georgia-demographics.com/bulloch-county-demographics" xr:uid="{42E87B88-3FF2-C449-A832-AA14E165168C}"/>
    <hyperlink ref="B240" r:id="rId33" display="https://www.georgia-demographics.com/jackson-county-demographics" xr:uid="{E9C4CC11-2CEF-C04D-B303-3B1E54E58669}"/>
    <hyperlink ref="B303" r:id="rId34" display="https://www.georgia-demographics.com/troup-county-demographics" xr:uid="{F805E106-3F7E-BE49-BFE5-7CE5250676E1}"/>
    <hyperlink ref="B308" r:id="rId35" display="https://www.georgia-demographics.com/walker-county-demographics" xr:uid="{EAE134B6-F346-1548-9A9A-CFC966FAC862}"/>
    <hyperlink ref="B185" r:id="rId36" display="https://www.georgia-demographics.com/catoosa-county-demographics" xr:uid="{E098F9AF-174D-9B40-B4A0-C407E768881E}"/>
    <hyperlink ref="B288" r:id="rId37" display="https://www.georgia-demographics.com/spalding-county-demographics" xr:uid="{470F086D-4F4A-F940-BB15-1A349944B90C}"/>
    <hyperlink ref="B213" r:id="rId38" display="https://www.georgia-demographics.com/effingham-county-demographics" xr:uid="{0E025EA3-0593-574B-BFB5-18EE5704F654}"/>
    <hyperlink ref="B251" r:id="rId39" display="https://www.georgia-demographics.com/liberty-county-demographics" xr:uid="{E98EFE91-1CB0-574B-97AC-128B79B87361}"/>
    <hyperlink ref="B226" r:id="rId40" display="https://www.georgia-demographics.com/gordon-county-demographics" xr:uid="{42E7FB18-6809-6B48-9328-545D42B7AF7F}"/>
    <hyperlink ref="B182" r:id="rId41" display="https://www.georgia-demographics.com/camden-county-demographics" xr:uid="{0DC144BC-C735-834F-A22B-57ACFA9FBD24}"/>
    <hyperlink ref="B249" r:id="rId42" display="https://www.georgia-demographics.com/laurens-county-demographics" xr:uid="{3AB54313-D3F8-5D40-8F61-DED61E0D30BE}"/>
    <hyperlink ref="B197" r:id="rId43" display="https://www.georgia-demographics.com/colquitt-county-demographics" xr:uid="{C2F94B76-D976-6A4A-990B-1E9C8306D1F2}"/>
    <hyperlink ref="B230" r:id="rId44" display="https://www.georgia-demographics.com/habersham-county-demographics" xr:uid="{4C60AB5D-CB7B-4645-B317-6AD4C0B7CDF4}"/>
    <hyperlink ref="B167" r:id="rId45" display="https://www.georgia-demographics.com/baldwin-county-demographics" xr:uid="{01EDE968-6163-2F47-969D-C0F279BC904D}"/>
    <hyperlink ref="B298" r:id="rId46" display="https://www.georgia-demographics.com/thomas-county-demographics" xr:uid="{8D0817C9-EF2F-E046-AC39-795F4BB1937F}"/>
    <hyperlink ref="B196" r:id="rId47" display="https://www.georgia-demographics.com/coffee-county-demographics" xr:uid="{E9AFEDBC-BF8B-BC43-92CD-FCCE118D3A68}"/>
    <hyperlink ref="B277" r:id="rId48" display="https://www.georgia-demographics.com/polk-county-demographics" xr:uid="{DE918DEC-491B-BC4D-8A65-D2168CF25DB2}"/>
    <hyperlink ref="B299" r:id="rId49" display="https://www.georgia-demographics.com/tift-county-demographics" xr:uid="{C5897F7C-E04C-B947-9C61-31535699D63E}"/>
    <hyperlink ref="B267" r:id="rId50" display="https://www.georgia-demographics.com/murray-county-demographics" xr:uid="{8CCC46A0-96EC-5243-A12E-C13CD291BF62}"/>
    <hyperlink ref="B270" r:id="rId51" display="https://www.georgia-demographics.com/oconee-county-demographics" xr:uid="{8A2F3949-05B2-154C-B7D1-AB76873C625D}"/>
    <hyperlink ref="B177" r:id="rId52" display="https://www.georgia-demographics.com/bryan-county-demographics" xr:uid="{09931461-BA8E-DD46-A1A4-6885DD13A098}"/>
    <hyperlink ref="B310" r:id="rId53" display="https://www.georgia-demographics.com/ware-county-demographics" xr:uid="{00602A15-167F-6B4C-8209-6D154FAD4769}"/>
    <hyperlink ref="B234" r:id="rId54" display="https://www.georgia-demographics.com/harris-county-demographics" xr:uid="{7DD6188F-FB92-684D-89A2-53FAB8AE221C}"/>
    <hyperlink ref="B255" r:id="rId55" display="https://www.georgia-demographics.com/lumpkin-county-demographics" xr:uid="{9C8EA745-C974-944B-A1C7-A88A2296EC87}"/>
    <hyperlink ref="B274" r:id="rId56" display="https://www.georgia-demographics.com/pickens-county-demographics" xr:uid="{8BD1E0B0-D20B-9546-8BFF-238C9044EA73}"/>
    <hyperlink ref="B223" r:id="rId57" display="https://www.georgia-demographics.com/gilmer-county-demographics" xr:uid="{3FF0A3F8-C131-AB43-9FB5-708E4CCC9715}"/>
    <hyperlink ref="B316" r:id="rId58" display="https://www.georgia-demographics.com/white-county-demographics" xr:uid="{8EB775CD-7481-0D43-A05B-15CF601CA043}"/>
    <hyperlink ref="B313" r:id="rId59" display="https://www.georgia-demographics.com/wayne-county-demographics" xr:uid="{718F73D6-4338-8748-A32F-6CC248077A60}"/>
    <hyperlink ref="B250" r:id="rId60" display="https://www.georgia-demographics.com/lee-county-demographics" xr:uid="{86E3FFE2-3349-0644-8316-0DAA757FFB20}"/>
    <hyperlink ref="B291" r:id="rId61" display="https://www.georgia-demographics.com/sumter-county-demographics" xr:uid="{09F83709-1E9D-734E-8FE7-59EF7865CA7E}"/>
    <hyperlink ref="B257" r:id="rId62" display="https://www.georgia-demographics.com/madison-county-demographics" xr:uid="{21F2B152-C1CE-D640-B6E8-C6DF3E49B498}"/>
    <hyperlink ref="B233" r:id="rId63" display="https://www.georgia-demographics.com/haralson-county-demographics" xr:uid="{C5229506-F7DB-F144-AF54-D13C811F6C0A}"/>
    <hyperlink ref="B246" r:id="rId64" display="https://www.georgia-demographics.com/jones-county-demographics" xr:uid="{2D9F7907-F576-E24C-B097-7124D2C19C7D}"/>
    <hyperlink ref="B273" r:id="rId65" display="https://www.georgia-demographics.com/peach-county-demographics" xr:uid="{CF258693-92EB-E146-AE95-0EDE60D1FF21}"/>
    <hyperlink ref="B264" r:id="rId66" display="https://www.georgia-demographics.com/monroe-county-demographics" xr:uid="{8039B96C-9B4E-6248-8534-AD65C45EF57B}"/>
    <hyperlink ref="B300" r:id="rId67" display="https://www.georgia-demographics.com/toombs-county-demographics" xr:uid="{D15BC3F9-B1D4-8647-AE97-FB2283C31F93}"/>
    <hyperlink ref="B205" r:id="rId68" display="https://www.georgia-demographics.com/decatur-county-demographics" xr:uid="{242100D3-73A4-9345-9894-32E4D1B908BE}"/>
    <hyperlink ref="B307" r:id="rId69" display="https://www.georgia-demographics.com/upson-county-demographics" xr:uid="{9489EADD-C1E9-114E-8B6B-E128B2E69528}"/>
    <hyperlink ref="B235" r:id="rId70" display="https://www.georgia-demographics.com/hart-county-demographics" xr:uid="{06217D93-FAD1-024C-8EBF-6ED69B8C1E67}"/>
    <hyperlink ref="B289" r:id="rId71" display="https://www.georgia-demographics.com/stephens-county-demographics" xr:uid="{59F5EFA3-88D5-C448-88B6-DD8D58E1C5A9}"/>
    <hyperlink ref="B217" r:id="rId72" display="https://www.georgia-demographics.com/fannin-county-demographics" xr:uid="{30FDAC29-BA70-D144-A2D2-19FB10D567DA}"/>
    <hyperlink ref="B294" r:id="rId73" display="https://www.georgia-demographics.com/tattnall-county-demographics" xr:uid="{A102EEF0-4E3E-F04C-ADCC-32CF2462C4DD}"/>
    <hyperlink ref="B204" r:id="rId74" display="https://www.georgia-demographics.com/dawson-county-demographics" xr:uid="{DFDE0104-C284-7548-AC1C-B40CCA81F8DE}"/>
    <hyperlink ref="B189" r:id="rId75" display="https://www.georgia-demographics.com/chattooga-county-demographics" xr:uid="{E696CD12-1EE0-C047-80CA-B8961BC41511}"/>
    <hyperlink ref="B227" r:id="rId76" display="https://www.georgia-demographics.com/grady-county-demographics" xr:uid="{663E87A5-59D2-2D4F-AADA-A8657B7FBF97}"/>
    <hyperlink ref="B180" r:id="rId77" display="https://www.georgia-demographics.com/butts-county-demographics" xr:uid="{DE677389-9944-4B4D-9979-1A38EE74D5F1}"/>
    <hyperlink ref="B306" r:id="rId78" display="https://www.georgia-demographics.com/union-county-demographics" xr:uid="{B9E3AF60-A482-1749-B916-B61B9DF96777}"/>
    <hyperlink ref="B221" r:id="rId79" display="https://www.georgia-demographics.com/franklin-county-demographics" xr:uid="{A55701FC-9677-0146-BC72-C89746B91163}"/>
    <hyperlink ref="B179" r:id="rId80" display="https://www.georgia-demographics.com/burke-county-demographics" xr:uid="{90992707-F761-AC40-B8EB-DDEF8C2D58C6}"/>
    <hyperlink ref="B215" r:id="rId81" display="https://www.georgia-demographics.com/emanuel-county-demographics" xr:uid="{D140A20F-8BD6-C84E-BFD8-E9FD3BF5C0A0}"/>
    <hyperlink ref="B202" r:id="rId82" display="https://www.georgia-demographics.com/crisp-county-demographics" xr:uid="{4387BB3B-DE27-854F-82FD-E1DE57ED6FCA}"/>
    <hyperlink ref="B263" r:id="rId83" display="https://www.georgia-demographics.com/mitchell-county-demographics" xr:uid="{3133186F-F906-EA4B-AE6F-44E11BCA2DD2}"/>
    <hyperlink ref="B279" r:id="rId84" display="https://www.georgia-demographics.com/putnam-county-demographics" xr:uid="{388EEE6D-0082-7345-888D-66C26CCE94CD}"/>
    <hyperlink ref="B259" r:id="rId85" display="https://www.georgia-demographics.com/mcduffie-county-demographics" xr:uid="{22133C5B-E62C-8146-97E6-F0702412A4C3}"/>
    <hyperlink ref="B261" r:id="rId86" display="https://www.georgia-demographics.com/meriwether-county-demographics" xr:uid="{C1E72E34-4AF5-F249-841E-759A894B5BFF}"/>
    <hyperlink ref="B207" r:id="rId87" display="https://www.georgia-demographics.com/dodge-county-demographics" xr:uid="{B1603253-3BEF-8949-AB50-DC3192A1800B}"/>
    <hyperlink ref="B321" r:id="rId88" display="https://www.georgia-demographics.com/worth-county-demographics" xr:uid="{2AD31B58-0D1A-5D44-8B0B-3E617DC971F9}"/>
    <hyperlink ref="B312" r:id="rId89" display="https://www.georgia-demographics.com/washington-county-demographics" xr:uid="{7003CF59-BF9E-F74D-B0FA-887AF13D7FA2}"/>
    <hyperlink ref="B275" r:id="rId90" display="https://www.georgia-demographics.com/pierce-county-demographics" xr:uid="{BA0B2478-BDC4-F14D-9DA1-5CD6B9440C18}"/>
    <hyperlink ref="B253" r:id="rId91" display="https://www.georgia-demographics.com/long-county-demographics" xr:uid="{E9DE7639-E0DC-0841-A84B-9D1F18210643}"/>
    <hyperlink ref="B172" r:id="rId92" display="https://www.georgia-demographics.com/berrien-county-demographics" xr:uid="{C8E7772B-CF7F-A548-91A5-A1B34A6F08BA}"/>
    <hyperlink ref="B214" r:id="rId93" display="https://www.georgia-demographics.com/elbert-county-demographics" xr:uid="{2794A6F1-B553-2042-83B6-3BFED55004E0}"/>
    <hyperlink ref="B175" r:id="rId94" display="https://www.georgia-demographics.com/brantley-county-demographics" xr:uid="{674648B1-4DBC-7249-AB44-D27FD7F92990}"/>
    <hyperlink ref="B168" r:id="rId95" display="https://www.georgia-demographics.com/banks-county-demographics" xr:uid="{3148CE4F-7C7C-E848-AD6B-C73843B620FD}"/>
    <hyperlink ref="B247" r:id="rId96" display="https://www.georgia-demographics.com/lamar-county-demographics" xr:uid="{FCE1A710-6886-2649-9335-8468784DB610}"/>
    <hyperlink ref="B266" r:id="rId97" display="https://www.georgia-demographics.com/morgan-county-demographics" xr:uid="{AE771653-7FF0-364B-B34A-205FD5BB95E8}"/>
    <hyperlink ref="B276" r:id="rId98" display="https://www.georgia-demographics.com/pike-county-demographics" xr:uid="{B40ABB65-01EF-0E44-B6D0-34ABA055C358}"/>
    <hyperlink ref="B163" r:id="rId99" display="https://www.georgia-demographics.com/appling-county-demographics" xr:uid="{1C39B7D2-86BA-A544-8370-5F6F7DAC7AA1}"/>
    <hyperlink ref="B228" r:id="rId100" display="https://www.georgia-demographics.com/greene-county-demographics" xr:uid="{76C539D7-3D6C-294A-A5C8-F39834160D75}"/>
  </hyperlinks>
  <pageMargins left="0.7" right="0.7" top="0.75" bottom="0.75" header="0.3" footer="0.3"/>
  <tableParts count="3">
    <tablePart r:id="rId101"/>
    <tablePart r:id="rId102"/>
    <tablePart r:id="rId10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E592-3E5F-0A4B-ABC4-5174F210192C}">
  <dimension ref="A1:S187"/>
  <sheetViews>
    <sheetView topLeftCell="B1" workbookViewId="0">
      <selection activeCell="R2" sqref="R2:R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8" max="8" width="12.1640625" customWidth="1"/>
    <col min="9" max="9" width="18.33203125" customWidth="1"/>
    <col min="10" max="10" width="12" style="21" customWidth="1"/>
    <col min="11" max="11" width="15.5" customWidth="1"/>
    <col min="12" max="12" width="17.33203125" customWidth="1"/>
    <col min="13" max="13" width="12" style="21" customWidth="1"/>
    <col min="14" max="14" width="14.5" customWidth="1"/>
    <col min="15" max="15" width="10.83203125" style="2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t="s">
        <v>1686</v>
      </c>
      <c r="H1" s="15" t="s">
        <v>165</v>
      </c>
      <c r="I1" s="15" t="s">
        <v>166</v>
      </c>
      <c r="J1" s="55" t="s">
        <v>1677</v>
      </c>
      <c r="K1" s="15" t="s">
        <v>167</v>
      </c>
      <c r="L1" s="15" t="s">
        <v>168</v>
      </c>
      <c r="M1" s="55" t="s">
        <v>1687</v>
      </c>
      <c r="N1" s="15" t="s">
        <v>169</v>
      </c>
      <c r="O1" s="21" t="s">
        <v>62</v>
      </c>
      <c r="R1" t="s">
        <v>267</v>
      </c>
      <c r="S1" t="s">
        <v>328</v>
      </c>
    </row>
    <row r="2" spans="1:19" ht="20">
      <c r="A2" s="11" t="s">
        <v>69</v>
      </c>
      <c r="B2" s="12" t="s">
        <v>1094</v>
      </c>
      <c r="C2" s="11">
        <v>2017</v>
      </c>
      <c r="D2" s="11" t="s">
        <v>295</v>
      </c>
      <c r="E2" s="11">
        <v>18.772559999999999</v>
      </c>
      <c r="F2" s="29">
        <f t="shared" ref="F2:F33" si="0">(E2-MIN(E:E))/(MAX(E:E)-MIN(E:E))</f>
        <v>0.24845133680842979</v>
      </c>
      <c r="H2" s="16" t="s">
        <v>1144</v>
      </c>
      <c r="I2" s="17">
        <v>10686</v>
      </c>
      <c r="J2" s="21">
        <f>Table21[[#This Row],[TRUMP VOTES]]/C96</f>
        <v>0.30064145847400403</v>
      </c>
      <c r="K2" s="18">
        <v>0.752</v>
      </c>
      <c r="L2" s="17">
        <v>3236</v>
      </c>
      <c r="M2" s="21">
        <f>Table21[[#This Row],[BIDEN VOTES]]/C96</f>
        <v>9.1042088678820618E-2</v>
      </c>
      <c r="N2" s="18">
        <v>0.22800000000000001</v>
      </c>
      <c r="O2" s="21">
        <f>1-(Table21[[#This Row],[NbP]]+Table21[[#This Row],[NbP2]])</f>
        <v>0.60831645284717539</v>
      </c>
      <c r="Q2" t="s">
        <v>325</v>
      </c>
      <c r="R2" s="37">
        <f>CORREL(F:F,J:J)</f>
        <v>-4.3702305947651301E-2</v>
      </c>
      <c r="S2">
        <v>0.1</v>
      </c>
    </row>
    <row r="3" spans="1:19" ht="20">
      <c r="A3" s="13" t="s">
        <v>69</v>
      </c>
      <c r="B3" s="14" t="s">
        <v>1415</v>
      </c>
      <c r="C3" s="13">
        <v>2017</v>
      </c>
      <c r="D3" s="13" t="s">
        <v>295</v>
      </c>
      <c r="E3" s="13">
        <v>12.47692</v>
      </c>
      <c r="F3" s="29">
        <f t="shared" si="0"/>
        <v>0.14927955361324288</v>
      </c>
      <c r="H3" s="16" t="s">
        <v>1452</v>
      </c>
      <c r="I3" s="17">
        <v>92083</v>
      </c>
      <c r="J3" s="56">
        <f>Table21[[#This Row],[TRUMP VOTES]]/C97</f>
        <v>0.24521463570515553</v>
      </c>
      <c r="K3" s="18">
        <v>0.54500000000000004</v>
      </c>
      <c r="L3" s="17">
        <v>73189</v>
      </c>
      <c r="M3" s="56">
        <f>Table21[[#This Row],[BIDEN VOTES]]/C97</f>
        <v>0.19490040477204942</v>
      </c>
      <c r="N3" s="18">
        <v>0.433</v>
      </c>
      <c r="O3" s="21">
        <f>1-(Table21[[#This Row],[NbP]]+Table21[[#This Row],[NbP2]])</f>
        <v>0.55988495952279504</v>
      </c>
      <c r="Q3" t="s">
        <v>326</v>
      </c>
      <c r="R3" s="37">
        <f>CORREL(F:F,M:M)</f>
        <v>-9.8429398599968507E-2</v>
      </c>
      <c r="S3">
        <v>0.1</v>
      </c>
    </row>
    <row r="4" spans="1:19" ht="20">
      <c r="A4" s="11" t="s">
        <v>69</v>
      </c>
      <c r="B4" s="12" t="s">
        <v>1416</v>
      </c>
      <c r="C4" s="11">
        <v>2017</v>
      </c>
      <c r="D4" s="11" t="s">
        <v>295</v>
      </c>
      <c r="E4" s="11">
        <v>13.79134</v>
      </c>
      <c r="F4" s="29">
        <f t="shared" si="0"/>
        <v>0.16998489497129665</v>
      </c>
      <c r="H4" s="16" t="s">
        <v>1453</v>
      </c>
      <c r="I4" s="17">
        <v>22410</v>
      </c>
      <c r="J4" s="56">
        <f>Table21[[#This Row],[TRUMP VOTES]]/C98</f>
        <v>0.26909221902017288</v>
      </c>
      <c r="K4" s="18">
        <v>0.61899999999999999</v>
      </c>
      <c r="L4" s="17">
        <v>12934</v>
      </c>
      <c r="M4" s="56">
        <f>Table21[[#This Row],[BIDEN VOTES]]/C98</f>
        <v>0.1553073967339097</v>
      </c>
      <c r="N4" s="18">
        <v>0.35699999999999998</v>
      </c>
      <c r="O4" s="21">
        <f>1-(Table21[[#This Row],[NbP]]+Table21[[#This Row],[NbP2]])</f>
        <v>0.57560038424591742</v>
      </c>
      <c r="Q4" t="s">
        <v>62</v>
      </c>
      <c r="R4">
        <f>CORREL(F:F,O:O)</f>
        <v>7.5060381904562878E-2</v>
      </c>
      <c r="S4">
        <v>0.1</v>
      </c>
    </row>
    <row r="5" spans="1:19" ht="20">
      <c r="A5" s="13" t="s">
        <v>69</v>
      </c>
      <c r="B5" s="14" t="s">
        <v>73</v>
      </c>
      <c r="C5" s="13">
        <v>2017</v>
      </c>
      <c r="D5" s="13" t="s">
        <v>295</v>
      </c>
      <c r="E5" s="13">
        <v>29.329609999999999</v>
      </c>
      <c r="F5" s="29">
        <f t="shared" si="0"/>
        <v>0.41475078750458588</v>
      </c>
      <c r="H5" s="16" t="s">
        <v>172</v>
      </c>
      <c r="I5" s="17">
        <v>3007</v>
      </c>
      <c r="J5" s="56">
        <f>Table21[[#This Row],[TRUMP VOTES]]/C99</f>
        <v>0.34583093732029901</v>
      </c>
      <c r="K5" s="18">
        <v>0.73199999999999998</v>
      </c>
      <c r="L5" s="17">
        <v>1009</v>
      </c>
      <c r="M5" s="56">
        <f>Table21[[#This Row],[BIDEN VOTES]]/C99</f>
        <v>0.11604370327774582</v>
      </c>
      <c r="N5" s="18">
        <v>0.246</v>
      </c>
      <c r="O5" s="21">
        <f>1-(Table21[[#This Row],[NbP]]+Table21[[#This Row],[NbP2]])</f>
        <v>0.53812535940195516</v>
      </c>
    </row>
    <row r="6" spans="1:19" ht="20">
      <c r="A6" s="11" t="s">
        <v>69</v>
      </c>
      <c r="B6" s="12" t="s">
        <v>1417</v>
      </c>
      <c r="C6" s="11">
        <v>2017</v>
      </c>
      <c r="D6" s="11" t="s">
        <v>295</v>
      </c>
      <c r="E6" s="11">
        <v>47.289499999999997</v>
      </c>
      <c r="F6" s="29">
        <f t="shared" si="0"/>
        <v>0.69766313911449462</v>
      </c>
      <c r="H6" s="16" t="s">
        <v>1454</v>
      </c>
      <c r="I6" s="17">
        <v>3841</v>
      </c>
      <c r="J6" s="56">
        <f>Table21[[#This Row],[TRUMP VOTES]]/C100</f>
        <v>0.3220694281401979</v>
      </c>
      <c r="K6" s="18">
        <v>0.71799999999999997</v>
      </c>
      <c r="L6" s="17">
        <v>1376</v>
      </c>
      <c r="M6" s="56">
        <f>Table21[[#This Row],[BIDEN VOTES]]/C100</f>
        <v>0.11537816535301022</v>
      </c>
      <c r="N6" s="18">
        <v>0.25700000000000001</v>
      </c>
      <c r="O6" s="21">
        <f>1-(Table21[[#This Row],[NbP]]+Table21[[#This Row],[NbP2]])</f>
        <v>0.56255240650679195</v>
      </c>
    </row>
    <row r="7" spans="1:19" ht="20">
      <c r="A7" s="13" t="s">
        <v>69</v>
      </c>
      <c r="B7" s="14" t="s">
        <v>859</v>
      </c>
      <c r="C7" s="13">
        <v>2017</v>
      </c>
      <c r="D7" s="13" t="s">
        <v>295</v>
      </c>
      <c r="E7" s="13">
        <v>10.89499</v>
      </c>
      <c r="F7" s="29">
        <f t="shared" si="0"/>
        <v>0.12436027312865959</v>
      </c>
      <c r="H7" s="16" t="s">
        <v>827</v>
      </c>
      <c r="I7" s="17">
        <v>22351</v>
      </c>
      <c r="J7" s="56">
        <f>Table21[[#This Row],[TRUMP VOTES]]/C101</f>
        <v>0.33422056074766354</v>
      </c>
      <c r="K7" s="18">
        <v>0.58099999999999996</v>
      </c>
      <c r="L7" s="17">
        <v>15244</v>
      </c>
      <c r="M7" s="56">
        <f>Table21[[#This Row],[BIDEN VOTES]]/C101</f>
        <v>0.22794766355140186</v>
      </c>
      <c r="N7" s="18">
        <v>0.39600000000000002</v>
      </c>
      <c r="O7" s="21">
        <f>1-(Table21[[#This Row],[NbP]]+Table21[[#This Row],[NbP2]])</f>
        <v>0.43783177570093457</v>
      </c>
    </row>
    <row r="8" spans="1:19" ht="20">
      <c r="A8" s="11" t="s">
        <v>69</v>
      </c>
      <c r="B8" s="12" t="s">
        <v>582</v>
      </c>
      <c r="C8" s="11">
        <v>2017</v>
      </c>
      <c r="D8" s="11" t="s">
        <v>295</v>
      </c>
      <c r="E8" s="11">
        <v>27.25291</v>
      </c>
      <c r="F8" s="29">
        <f t="shared" si="0"/>
        <v>0.38203766506406445</v>
      </c>
      <c r="H8" s="16" t="s">
        <v>354</v>
      </c>
      <c r="I8" s="17">
        <v>5777</v>
      </c>
      <c r="J8" s="56">
        <f>Table21[[#This Row],[TRUMP VOTES]]/C102</f>
        <v>0.38276021996952231</v>
      </c>
      <c r="K8" s="18">
        <v>0.64300000000000002</v>
      </c>
      <c r="L8" s="17">
        <v>3036</v>
      </c>
      <c r="M8" s="56">
        <f>Table21[[#This Row],[BIDEN VOTES]]/C102</f>
        <v>0.201152852315643</v>
      </c>
      <c r="N8" s="18">
        <v>0.33800000000000002</v>
      </c>
      <c r="O8" s="21">
        <f>1-(Table21[[#This Row],[NbP]]+Table21[[#This Row],[NbP2]])</f>
        <v>0.41608692771483469</v>
      </c>
    </row>
    <row r="9" spans="1:19" ht="20">
      <c r="A9" s="13" t="s">
        <v>69</v>
      </c>
      <c r="B9" s="14" t="s">
        <v>79</v>
      </c>
      <c r="C9" s="13">
        <v>2017</v>
      </c>
      <c r="D9" s="13" t="s">
        <v>295</v>
      </c>
      <c r="E9" s="13">
        <v>27.148309999999999</v>
      </c>
      <c r="F9" s="29">
        <f t="shared" si="0"/>
        <v>0.38038995831427935</v>
      </c>
      <c r="H9" s="16" t="s">
        <v>178</v>
      </c>
      <c r="I9" s="17">
        <v>7086</v>
      </c>
      <c r="J9" s="56">
        <f>Table21[[#This Row],[TRUMP VOTES]]/C103</f>
        <v>0.35188955653771664</v>
      </c>
      <c r="K9" s="18">
        <v>0.746</v>
      </c>
      <c r="L9" s="17">
        <v>2224</v>
      </c>
      <c r="M9" s="56">
        <f>Table21[[#This Row],[BIDEN VOTES]]/C103</f>
        <v>0.110443462283359</v>
      </c>
      <c r="N9" s="18">
        <v>0.23400000000000001</v>
      </c>
      <c r="O9" s="21">
        <f>1-(Table21[[#This Row],[NbP]]+Table21[[#This Row],[NbP2]])</f>
        <v>0.53766698117892431</v>
      </c>
    </row>
    <row r="10" spans="1:19" ht="20">
      <c r="A10" s="11" t="s">
        <v>69</v>
      </c>
      <c r="B10" s="12" t="s">
        <v>591</v>
      </c>
      <c r="C10" s="11">
        <v>2017</v>
      </c>
      <c r="D10" s="11" t="s">
        <v>295</v>
      </c>
      <c r="E10" s="11">
        <v>19.490079999999999</v>
      </c>
      <c r="F10" s="29">
        <f t="shared" si="0"/>
        <v>0.25975403802358993</v>
      </c>
      <c r="H10" s="16" t="s">
        <v>363</v>
      </c>
      <c r="I10" s="17">
        <v>10552</v>
      </c>
      <c r="J10" s="56">
        <f>Table21[[#This Row],[TRUMP VOTES]]/C104</f>
        <v>0.27969358814642031</v>
      </c>
      <c r="K10" s="18">
        <v>0.69499999999999995</v>
      </c>
      <c r="L10" s="17">
        <v>4304</v>
      </c>
      <c r="M10" s="56">
        <f>Table21[[#This Row],[BIDEN VOTES]]/C104</f>
        <v>0.11408275240543908</v>
      </c>
      <c r="N10" s="18">
        <v>0.28299999999999997</v>
      </c>
      <c r="O10" s="21">
        <f>1-(Table21[[#This Row],[NbP]]+Table21[[#This Row],[NbP2]])</f>
        <v>0.60622365944814061</v>
      </c>
    </row>
    <row r="11" spans="1:19" ht="20">
      <c r="A11" s="13" t="s">
        <v>69</v>
      </c>
      <c r="B11" s="14" t="s">
        <v>1418</v>
      </c>
      <c r="C11" s="13">
        <v>2017</v>
      </c>
      <c r="D11" s="13" t="s">
        <v>295</v>
      </c>
      <c r="E11" s="13">
        <v>17.03539</v>
      </c>
      <c r="F11" s="29">
        <f t="shared" si="0"/>
        <v>0.22108664527378316</v>
      </c>
      <c r="H11" s="16" t="s">
        <v>1404</v>
      </c>
      <c r="I11" s="17">
        <v>33668</v>
      </c>
      <c r="J11" s="56">
        <f>Table21[[#This Row],[TRUMP VOTES]]/C105</f>
        <v>0.28675581296312069</v>
      </c>
      <c r="K11" s="18">
        <v>0.58199999999999996</v>
      </c>
      <c r="L11" s="17">
        <v>23093</v>
      </c>
      <c r="M11" s="56">
        <f>Table21[[#This Row],[BIDEN VOTES]]/C105</f>
        <v>0.19668682395025977</v>
      </c>
      <c r="N11" s="18">
        <v>0.39900000000000002</v>
      </c>
      <c r="O11" s="21">
        <f>1-(Table21[[#This Row],[NbP]]+Table21[[#This Row],[NbP2]])</f>
        <v>0.51655736308661959</v>
      </c>
    </row>
    <row r="12" spans="1:19" ht="20">
      <c r="A12" s="11" t="s">
        <v>69</v>
      </c>
      <c r="B12" s="12" t="s">
        <v>84</v>
      </c>
      <c r="C12" s="11">
        <v>2017</v>
      </c>
      <c r="D12" s="11" t="s">
        <v>295</v>
      </c>
      <c r="E12" s="11">
        <v>36.372700000000002</v>
      </c>
      <c r="F12" s="29">
        <f t="shared" si="0"/>
        <v>0.52569674288071755</v>
      </c>
      <c r="H12" s="16" t="s">
        <v>183</v>
      </c>
      <c r="I12" s="17">
        <v>9499</v>
      </c>
      <c r="J12" s="56">
        <f>Table21[[#This Row],[TRUMP VOTES]]/C106</f>
        <v>0.36212877892569861</v>
      </c>
      <c r="K12" s="18">
        <v>0.77500000000000002</v>
      </c>
      <c r="L12" s="17">
        <v>2552</v>
      </c>
      <c r="M12" s="56">
        <f>Table21[[#This Row],[BIDEN VOTES]]/C106</f>
        <v>9.7289466661583626E-2</v>
      </c>
      <c r="N12" s="18">
        <v>0.20799999999999999</v>
      </c>
      <c r="O12" s="21">
        <f>1-(Table21[[#This Row],[NbP]]+Table21[[#This Row],[NbP2]])</f>
        <v>0.54058175441271783</v>
      </c>
    </row>
    <row r="13" spans="1:19" ht="20">
      <c r="A13" s="13" t="s">
        <v>69</v>
      </c>
      <c r="B13" s="14" t="s">
        <v>1398</v>
      </c>
      <c r="C13" s="13">
        <v>2017</v>
      </c>
      <c r="D13" s="13" t="s">
        <v>295</v>
      </c>
      <c r="E13" s="13">
        <v>21.249120000000001</v>
      </c>
      <c r="F13" s="29">
        <f t="shared" si="0"/>
        <v>0.28746323574005106</v>
      </c>
      <c r="H13" s="16" t="s">
        <v>1405</v>
      </c>
      <c r="I13" s="17">
        <v>9334</v>
      </c>
      <c r="J13" s="56">
        <f>Table21[[#This Row],[TRUMP VOTES]]/C107</f>
        <v>0.2900018641645436</v>
      </c>
      <c r="K13" s="18">
        <v>0.72099999999999997</v>
      </c>
      <c r="L13" s="17">
        <v>3361</v>
      </c>
      <c r="M13" s="56">
        <f>Table21[[#This Row],[BIDEN VOTES]]/C107</f>
        <v>0.10442428385012117</v>
      </c>
      <c r="N13" s="18">
        <v>0.26</v>
      </c>
      <c r="O13" s="21">
        <f>1-(Table21[[#This Row],[NbP]]+Table21[[#This Row],[NbP2]])</f>
        <v>0.6055738519853352</v>
      </c>
    </row>
    <row r="14" spans="1:19" ht="20">
      <c r="A14" s="11" t="s">
        <v>69</v>
      </c>
      <c r="B14" s="12" t="s">
        <v>1237</v>
      </c>
      <c r="C14" s="11">
        <v>2017</v>
      </c>
      <c r="D14" s="11" t="s">
        <v>295</v>
      </c>
      <c r="E14" s="11">
        <v>62.85219</v>
      </c>
      <c r="F14" s="29">
        <f t="shared" si="0"/>
        <v>0.94281370658879493</v>
      </c>
      <c r="H14" s="16" t="s">
        <v>1331</v>
      </c>
      <c r="I14" s="17">
        <v>3483</v>
      </c>
      <c r="J14" s="56">
        <f>Table21[[#This Row],[TRUMP VOTES]]/C108</f>
        <v>0.32914382914382917</v>
      </c>
      <c r="K14" s="18">
        <v>0.70399999999999996</v>
      </c>
      <c r="L14" s="17">
        <v>1355</v>
      </c>
      <c r="M14" s="56">
        <f>Table21[[#This Row],[BIDEN VOTES]]/C108</f>
        <v>0.12804762804762804</v>
      </c>
      <c r="N14" s="18">
        <v>0.27400000000000002</v>
      </c>
      <c r="O14" s="21">
        <f>1-(Table21[[#This Row],[NbP]]+Table21[[#This Row],[NbP2]])</f>
        <v>0.54280854280854274</v>
      </c>
    </row>
    <row r="15" spans="1:19" ht="20">
      <c r="A15" s="13" t="s">
        <v>69</v>
      </c>
      <c r="B15" s="14" t="s">
        <v>1419</v>
      </c>
      <c r="C15" s="13">
        <v>2017</v>
      </c>
      <c r="D15" s="13" t="s">
        <v>295</v>
      </c>
      <c r="E15" s="13">
        <v>14.5586</v>
      </c>
      <c r="F15" s="29">
        <f t="shared" si="0"/>
        <v>0.18207112327760691</v>
      </c>
      <c r="H15" s="16" t="s">
        <v>1455</v>
      </c>
      <c r="I15" s="17">
        <v>9576</v>
      </c>
      <c r="J15" s="56">
        <f>Table21[[#This Row],[TRUMP VOTES]]/C109</f>
        <v>0.28776632508940109</v>
      </c>
      <c r="K15" s="18">
        <v>0.80100000000000005</v>
      </c>
      <c r="L15" s="17">
        <v>2169</v>
      </c>
      <c r="M15" s="56">
        <f>Table21[[#This Row],[BIDEN VOTES]]/C109</f>
        <v>6.5180154461039155E-2</v>
      </c>
      <c r="N15" s="18">
        <v>0.182</v>
      </c>
      <c r="O15" s="21">
        <f>1-(Table21[[#This Row],[NbP]]+Table21[[#This Row],[NbP2]])</f>
        <v>0.64705352044955977</v>
      </c>
    </row>
    <row r="16" spans="1:19" ht="20">
      <c r="A16" s="11" t="s">
        <v>69</v>
      </c>
      <c r="B16" s="12" t="s">
        <v>1420</v>
      </c>
      <c r="C16" s="11">
        <v>2017</v>
      </c>
      <c r="D16" s="11" t="s">
        <v>295</v>
      </c>
      <c r="E16" s="11">
        <v>25.956769999999999</v>
      </c>
      <c r="F16" s="29">
        <f t="shared" si="0"/>
        <v>0.36162027857585838</v>
      </c>
      <c r="H16" s="16" t="s">
        <v>1456</v>
      </c>
      <c r="I16" s="17">
        <v>19528</v>
      </c>
      <c r="J16" s="56">
        <f>Table21[[#This Row],[TRUMP VOTES]]/C110</f>
        <v>0.39361444811739094</v>
      </c>
      <c r="K16" s="18">
        <v>0.77</v>
      </c>
      <c r="L16" s="17">
        <v>5446</v>
      </c>
      <c r="M16" s="56">
        <f>Table21[[#This Row],[BIDEN VOTES]]/C110</f>
        <v>0.10977182939611384</v>
      </c>
      <c r="N16" s="18">
        <v>0.215</v>
      </c>
      <c r="O16" s="21">
        <f>1-(Table21[[#This Row],[NbP]]+Table21[[#This Row],[NbP2]])</f>
        <v>0.49661372248649527</v>
      </c>
    </row>
    <row r="17" spans="1:15" ht="20">
      <c r="A17" s="13" t="s">
        <v>69</v>
      </c>
      <c r="B17" s="14" t="s">
        <v>90</v>
      </c>
      <c r="C17" s="13">
        <v>2017</v>
      </c>
      <c r="D17" s="13" t="s">
        <v>295</v>
      </c>
      <c r="E17" s="13">
        <v>45.718649999999997</v>
      </c>
      <c r="F17" s="29">
        <f t="shared" si="0"/>
        <v>0.67291839582673363</v>
      </c>
      <c r="H17" s="16" t="s">
        <v>189</v>
      </c>
      <c r="I17" s="17">
        <v>9575</v>
      </c>
      <c r="J17" s="56">
        <f>Table21[[#This Row],[TRUMP VOTES]]/C111</f>
        <v>0.36013841351036219</v>
      </c>
      <c r="K17" s="18">
        <v>0.77900000000000003</v>
      </c>
      <c r="L17" s="17">
        <v>2439</v>
      </c>
      <c r="M17" s="56">
        <f>Table21[[#This Row],[BIDEN VOTES]]/C111</f>
        <v>9.1736562981908451E-2</v>
      </c>
      <c r="N17" s="18">
        <v>0.19900000000000001</v>
      </c>
      <c r="O17" s="21">
        <f>1-(Table21[[#This Row],[NbP]]+Table21[[#This Row],[NbP2]])</f>
        <v>0.54812502350772929</v>
      </c>
    </row>
    <row r="18" spans="1:15" ht="20">
      <c r="A18" s="11" t="s">
        <v>69</v>
      </c>
      <c r="B18" s="12" t="s">
        <v>91</v>
      </c>
      <c r="C18" s="11">
        <v>2017</v>
      </c>
      <c r="D18" s="11" t="s">
        <v>295</v>
      </c>
      <c r="E18" s="11">
        <v>28.88504</v>
      </c>
      <c r="F18" s="29">
        <f t="shared" si="0"/>
        <v>0.40774771876890781</v>
      </c>
      <c r="H18" s="16" t="s">
        <v>190</v>
      </c>
      <c r="I18" s="17">
        <v>14237</v>
      </c>
      <c r="J18" s="56">
        <f>Table21[[#This Row],[TRUMP VOTES]]/C112</f>
        <v>0.32961359479545299</v>
      </c>
      <c r="K18" s="18">
        <v>0.72499999999999998</v>
      </c>
      <c r="L18" s="17">
        <v>4966</v>
      </c>
      <c r="M18" s="56">
        <f>Table21[[#This Row],[BIDEN VOTES]]/C112</f>
        <v>0.11497233347996202</v>
      </c>
      <c r="N18" s="18">
        <v>0.253</v>
      </c>
      <c r="O18" s="21">
        <f>1-(Table21[[#This Row],[NbP]]+Table21[[#This Row],[NbP2]])</f>
        <v>0.55541407172458501</v>
      </c>
    </row>
    <row r="19" spans="1:15" ht="20">
      <c r="A19" s="13" t="s">
        <v>69</v>
      </c>
      <c r="B19" s="14" t="s">
        <v>50</v>
      </c>
      <c r="C19" s="13">
        <v>2017</v>
      </c>
      <c r="D19" s="13" t="s">
        <v>295</v>
      </c>
      <c r="E19" s="13">
        <v>37.897199999999998</v>
      </c>
      <c r="F19" s="29">
        <f t="shared" si="0"/>
        <v>0.54971135989837772</v>
      </c>
      <c r="H19" s="16" t="s">
        <v>1457</v>
      </c>
      <c r="I19" s="17">
        <v>26827</v>
      </c>
      <c r="J19" s="56">
        <f>Table21[[#This Row],[TRUMP VOTES]]/C113</f>
        <v>0.23437677462192363</v>
      </c>
      <c r="K19" s="18">
        <v>0.55700000000000005</v>
      </c>
      <c r="L19" s="17">
        <v>20474</v>
      </c>
      <c r="M19" s="56">
        <f>Table21[[#This Row],[BIDEN VOTES]]/C113</f>
        <v>0.17887315330112441</v>
      </c>
      <c r="N19" s="18">
        <v>0.42499999999999999</v>
      </c>
      <c r="O19" s="21">
        <f>1-(Table21[[#This Row],[NbP]]+Table21[[#This Row],[NbP2]])</f>
        <v>0.58675007207695196</v>
      </c>
    </row>
    <row r="20" spans="1:15" ht="20">
      <c r="A20" s="11" t="s">
        <v>69</v>
      </c>
      <c r="B20" s="12" t="s">
        <v>1421</v>
      </c>
      <c r="C20" s="11">
        <v>2017</v>
      </c>
      <c r="D20" s="11" t="s">
        <v>295</v>
      </c>
      <c r="E20" s="11">
        <v>22.445820000000001</v>
      </c>
      <c r="F20" s="29">
        <f t="shared" si="0"/>
        <v>0.30631419814414029</v>
      </c>
      <c r="H20" s="16" t="s">
        <v>1458</v>
      </c>
      <c r="I20" s="17">
        <v>15033</v>
      </c>
      <c r="J20" s="56">
        <f>Table21[[#This Row],[TRUMP VOTES]]/C114</f>
        <v>0.35343489913951193</v>
      </c>
      <c r="K20" s="18">
        <v>0.69099999999999995</v>
      </c>
      <c r="L20" s="17">
        <v>6292</v>
      </c>
      <c r="M20" s="56">
        <f>Table21[[#This Row],[BIDEN VOTES]]/C114</f>
        <v>0.14792871585084874</v>
      </c>
      <c r="N20" s="18">
        <v>0.28899999999999998</v>
      </c>
      <c r="O20" s="21">
        <f>1-(Table21[[#This Row],[NbP]]+Table21[[#This Row],[NbP2]])</f>
        <v>0.49863638500963936</v>
      </c>
    </row>
    <row r="21" spans="1:15" ht="20">
      <c r="A21" s="13" t="s">
        <v>69</v>
      </c>
      <c r="B21" s="14" t="s">
        <v>1422</v>
      </c>
      <c r="C21" s="13">
        <v>2017</v>
      </c>
      <c r="D21" s="13" t="s">
        <v>295</v>
      </c>
      <c r="E21" s="13">
        <v>12.750069999999999</v>
      </c>
      <c r="F21" s="29">
        <f t="shared" si="0"/>
        <v>0.15358233658364229</v>
      </c>
      <c r="H21" s="16" t="s">
        <v>1459</v>
      </c>
      <c r="I21" s="17">
        <v>46972</v>
      </c>
      <c r="J21" s="56">
        <f>Table21[[#This Row],[TRUMP VOTES]]/C115</f>
        <v>0.22892623206487836</v>
      </c>
      <c r="K21" s="18">
        <v>0.63200000000000001</v>
      </c>
      <c r="L21" s="17">
        <v>26108</v>
      </c>
      <c r="M21" s="56">
        <f>Table21[[#This Row],[BIDEN VOTES]]/C115</f>
        <v>0.12724189020586402</v>
      </c>
      <c r="N21" s="18">
        <v>0.35099999999999998</v>
      </c>
      <c r="O21" s="21">
        <f>1-(Table21[[#This Row],[NbP]]+Table21[[#This Row],[NbP2]])</f>
        <v>0.64383187772925765</v>
      </c>
    </row>
    <row r="22" spans="1:15" ht="20">
      <c r="A22" s="11" t="s">
        <v>69</v>
      </c>
      <c r="B22" s="12" t="s">
        <v>94</v>
      </c>
      <c r="C22" s="11">
        <v>2017</v>
      </c>
      <c r="D22" s="11" t="s">
        <v>295</v>
      </c>
      <c r="E22" s="11">
        <v>32.549019999999999</v>
      </c>
      <c r="F22" s="29">
        <f t="shared" si="0"/>
        <v>0.46546439732605233</v>
      </c>
      <c r="H22" s="16" t="s">
        <v>193</v>
      </c>
      <c r="I22" s="17">
        <v>7755</v>
      </c>
      <c r="J22" s="56">
        <f>Table21[[#This Row],[TRUMP VOTES]]/C116</f>
        <v>0.33617998959597711</v>
      </c>
      <c r="K22" s="18">
        <v>0.76500000000000001</v>
      </c>
      <c r="L22" s="17">
        <v>2237</v>
      </c>
      <c r="M22" s="56">
        <f>Table21[[#This Row],[BIDEN VOTES]]/C116</f>
        <v>9.697416334315935E-2</v>
      </c>
      <c r="N22" s="18">
        <v>0.221</v>
      </c>
      <c r="O22" s="21">
        <f>1-(Table21[[#This Row],[NbP]]+Table21[[#This Row],[NbP2]])</f>
        <v>0.56684584706086349</v>
      </c>
    </row>
    <row r="23" spans="1:15" ht="20">
      <c r="A23" s="13" t="s">
        <v>69</v>
      </c>
      <c r="B23" s="14" t="s">
        <v>630</v>
      </c>
      <c r="C23" s="13">
        <v>2017</v>
      </c>
      <c r="D23" s="13" t="s">
        <v>295</v>
      </c>
      <c r="E23" s="13">
        <v>27.137969999999999</v>
      </c>
      <c r="F23" s="29">
        <f t="shared" si="0"/>
        <v>0.3802270779338513</v>
      </c>
      <c r="H23" s="16" t="s">
        <v>403</v>
      </c>
      <c r="I23" s="17">
        <v>23400</v>
      </c>
      <c r="J23" s="56">
        <f>Table21[[#This Row],[TRUMP VOTES]]/C117</f>
        <v>0.30046610767986237</v>
      </c>
      <c r="K23" s="18">
        <v>0.56000000000000005</v>
      </c>
      <c r="L23" s="17">
        <v>17511</v>
      </c>
      <c r="M23" s="56">
        <f>Table21[[#This Row],[BIDEN VOTES]]/C117</f>
        <v>0.22484880391376366</v>
      </c>
      <c r="N23" s="18">
        <v>0.41899999999999998</v>
      </c>
      <c r="O23" s="21">
        <f>1-(Table21[[#This Row],[NbP]]+Table21[[#This Row],[NbP2]])</f>
        <v>0.47468508840637402</v>
      </c>
    </row>
    <row r="24" spans="1:15" ht="20">
      <c r="A24" s="11" t="s">
        <v>69</v>
      </c>
      <c r="B24" s="12" t="s">
        <v>1423</v>
      </c>
      <c r="C24" s="11">
        <v>2017</v>
      </c>
      <c r="D24" s="11" t="s">
        <v>295</v>
      </c>
      <c r="E24" s="11">
        <v>51.807879999999997</v>
      </c>
      <c r="F24" s="29">
        <f t="shared" si="0"/>
        <v>0.76883871487064792</v>
      </c>
      <c r="H24" s="16" t="s">
        <v>1460</v>
      </c>
      <c r="I24" s="17">
        <v>6154</v>
      </c>
      <c r="J24" s="56">
        <f>Table21[[#This Row],[TRUMP VOTES]]/C118</f>
        <v>0.37396694214876031</v>
      </c>
      <c r="K24" s="18">
        <v>0.77100000000000002</v>
      </c>
      <c r="L24" s="17">
        <v>1629</v>
      </c>
      <c r="M24" s="56">
        <f>Table21[[#This Row],[BIDEN VOTES]]/C118</f>
        <v>9.8991249392318917E-2</v>
      </c>
      <c r="N24" s="18">
        <v>0.20399999999999999</v>
      </c>
      <c r="O24" s="21">
        <f>1-(Table21[[#This Row],[NbP]]+Table21[[#This Row],[NbP2]])</f>
        <v>0.52704180845892079</v>
      </c>
    </row>
    <row r="25" spans="1:15" ht="20">
      <c r="A25" s="13" t="s">
        <v>69</v>
      </c>
      <c r="B25" s="14" t="s">
        <v>96</v>
      </c>
      <c r="C25" s="13">
        <v>2017</v>
      </c>
      <c r="D25" s="13" t="s">
        <v>295</v>
      </c>
      <c r="E25" s="13">
        <v>25.024059999999999</v>
      </c>
      <c r="F25" s="29">
        <f t="shared" si="0"/>
        <v>0.34692780665815298</v>
      </c>
      <c r="H25" s="16" t="s">
        <v>195</v>
      </c>
      <c r="I25" s="17">
        <v>9691</v>
      </c>
      <c r="J25" s="56">
        <f>Table21[[#This Row],[TRUMP VOTES]]/C119</f>
        <v>0.42597802197802198</v>
      </c>
      <c r="K25" s="18">
        <v>0.80800000000000005</v>
      </c>
      <c r="L25" s="17">
        <v>2137</v>
      </c>
      <c r="M25" s="56">
        <f>Table21[[#This Row],[BIDEN VOTES]]/C119</f>
        <v>9.3934065934065933E-2</v>
      </c>
      <c r="N25" s="18">
        <v>0.17799999999999999</v>
      </c>
      <c r="O25" s="21">
        <f>1-(Table21[[#This Row],[NbP]]+Table21[[#This Row],[NbP2]])</f>
        <v>0.48008791208791213</v>
      </c>
    </row>
    <row r="26" spans="1:15" ht="20">
      <c r="A26" s="11" t="s">
        <v>69</v>
      </c>
      <c r="B26" s="12" t="s">
        <v>1250</v>
      </c>
      <c r="C26" s="11">
        <v>2017</v>
      </c>
      <c r="D26" s="11" t="s">
        <v>295</v>
      </c>
      <c r="E26" s="11">
        <v>35.51285</v>
      </c>
      <c r="F26" s="29">
        <f t="shared" si="0"/>
        <v>0.51215199480421036</v>
      </c>
      <c r="H26" s="16" t="s">
        <v>1343</v>
      </c>
      <c r="I26" s="17">
        <v>6694</v>
      </c>
      <c r="J26" s="56">
        <f>Table21[[#This Row],[TRUMP VOTES]]/C120</f>
        <v>0.33354925507000849</v>
      </c>
      <c r="K26" s="18">
        <v>0.73199999999999998</v>
      </c>
      <c r="L26" s="17">
        <v>2280</v>
      </c>
      <c r="M26" s="56">
        <f>Table21[[#This Row],[BIDEN VOTES]]/C120</f>
        <v>0.11360805221984155</v>
      </c>
      <c r="N26" s="18">
        <v>0.249</v>
      </c>
      <c r="O26" s="21">
        <f>1-(Table21[[#This Row],[NbP]]+Table21[[#This Row],[NbP2]])</f>
        <v>0.55284269271014996</v>
      </c>
    </row>
    <row r="27" spans="1:15" ht="20">
      <c r="A27" s="13" t="s">
        <v>69</v>
      </c>
      <c r="B27" s="14" t="s">
        <v>97</v>
      </c>
      <c r="C27" s="13">
        <v>2017</v>
      </c>
      <c r="D27" s="13" t="s">
        <v>295</v>
      </c>
      <c r="E27" s="13">
        <v>24.234690000000001</v>
      </c>
      <c r="F27" s="29">
        <f t="shared" si="0"/>
        <v>0.33449329158092739</v>
      </c>
      <c r="H27" s="16" t="s">
        <v>196</v>
      </c>
      <c r="I27" s="17">
        <v>11817</v>
      </c>
      <c r="J27" s="56">
        <f>Table21[[#This Row],[TRUMP VOTES]]/C121</f>
        <v>0.35053839992880664</v>
      </c>
      <c r="K27" s="18">
        <v>0.73099999999999998</v>
      </c>
      <c r="L27" s="17">
        <v>4023</v>
      </c>
      <c r="M27" s="56">
        <f>Table21[[#This Row],[BIDEN VOTES]]/C121</f>
        <v>0.1193379015751535</v>
      </c>
      <c r="N27" s="18">
        <v>0.249</v>
      </c>
      <c r="O27" s="21">
        <f>1-(Table21[[#This Row],[NbP]]+Table21[[#This Row],[NbP2]])</f>
        <v>0.5301236984960398</v>
      </c>
    </row>
    <row r="28" spans="1:15" ht="20">
      <c r="A28" s="11" t="s">
        <v>69</v>
      </c>
      <c r="B28" s="12" t="s">
        <v>313</v>
      </c>
      <c r="C28" s="11">
        <v>2017</v>
      </c>
      <c r="D28" s="11" t="s">
        <v>295</v>
      </c>
      <c r="E28" s="11">
        <v>20.83634</v>
      </c>
      <c r="F28" s="29">
        <f t="shared" si="0"/>
        <v>0.28096093753568918</v>
      </c>
      <c r="H28" s="16" t="s">
        <v>278</v>
      </c>
      <c r="I28" s="17">
        <v>18543</v>
      </c>
      <c r="J28" s="56">
        <f>Table21[[#This Row],[TRUMP VOTES]]/C122</f>
        <v>0.28072061161153583</v>
      </c>
      <c r="K28" s="18">
        <v>0.68300000000000005</v>
      </c>
      <c r="L28" s="17">
        <v>8015</v>
      </c>
      <c r="M28" s="56">
        <f>Table21[[#This Row],[BIDEN VOTES]]/C122</f>
        <v>0.12133827870713799</v>
      </c>
      <c r="N28" s="18">
        <v>0.29499999999999998</v>
      </c>
      <c r="O28" s="21">
        <f>1-(Table21[[#This Row],[NbP]]+Table21[[#This Row],[NbP2]])</f>
        <v>0.59794110968132619</v>
      </c>
    </row>
    <row r="29" spans="1:15" ht="20">
      <c r="A29" s="13" t="s">
        <v>69</v>
      </c>
      <c r="B29" s="14" t="s">
        <v>100</v>
      </c>
      <c r="C29" s="13">
        <v>2017</v>
      </c>
      <c r="D29" s="13" t="s">
        <v>295</v>
      </c>
      <c r="E29" s="13">
        <v>29.94096</v>
      </c>
      <c r="F29" s="29">
        <f t="shared" si="0"/>
        <v>0.42438105061625964</v>
      </c>
      <c r="H29" s="16" t="s">
        <v>199</v>
      </c>
      <c r="I29" s="17">
        <v>11103</v>
      </c>
      <c r="J29" s="56">
        <f>Table21[[#This Row],[TRUMP VOTES]]/C123</f>
        <v>0.34509231056132283</v>
      </c>
      <c r="K29" s="18">
        <v>0.751</v>
      </c>
      <c r="L29" s="17">
        <v>3389</v>
      </c>
      <c r="M29" s="56">
        <f>Table21[[#This Row],[BIDEN VOTES]]/C123</f>
        <v>0.10533349909865108</v>
      </c>
      <c r="N29" s="18">
        <v>0.22900000000000001</v>
      </c>
      <c r="O29" s="21">
        <f>1-(Table21[[#This Row],[NbP]]+Table21[[#This Row],[NbP2]])</f>
        <v>0.54957419034002608</v>
      </c>
    </row>
    <row r="30" spans="1:15" ht="20">
      <c r="A30" s="11" t="s">
        <v>69</v>
      </c>
      <c r="B30" s="12" t="s">
        <v>103</v>
      </c>
      <c r="C30" s="11">
        <v>2017</v>
      </c>
      <c r="D30" s="11" t="s">
        <v>295</v>
      </c>
      <c r="E30" s="11">
        <v>3.0003299999999999</v>
      </c>
      <c r="F30" s="29">
        <f t="shared" si="0"/>
        <v>0</v>
      </c>
      <c r="H30" s="16" t="s">
        <v>202</v>
      </c>
      <c r="I30" s="17">
        <v>101587</v>
      </c>
      <c r="J30" s="56">
        <f>Table21[[#This Row],[TRUMP VOTES]]/C124</f>
        <v>0.30741553312856518</v>
      </c>
      <c r="K30" s="18">
        <v>0.52400000000000002</v>
      </c>
      <c r="L30" s="17">
        <v>88390</v>
      </c>
      <c r="M30" s="56">
        <f>Table21[[#This Row],[BIDEN VOTES]]/C124</f>
        <v>0.267479687098092</v>
      </c>
      <c r="N30" s="18">
        <v>0.45600000000000002</v>
      </c>
      <c r="O30" s="21">
        <f>1-(Table21[[#This Row],[NbP]]+Table21[[#This Row],[NbP2]])</f>
        <v>0.42510477977334282</v>
      </c>
    </row>
    <row r="31" spans="1:15" ht="20">
      <c r="A31" s="13" t="s">
        <v>69</v>
      </c>
      <c r="B31" s="14" t="s">
        <v>104</v>
      </c>
      <c r="C31" s="13">
        <v>2017</v>
      </c>
      <c r="D31" s="13" t="s">
        <v>295</v>
      </c>
      <c r="E31" s="13">
        <v>14.44514</v>
      </c>
      <c r="F31" s="29">
        <f t="shared" si="0"/>
        <v>0.18028384978018236</v>
      </c>
      <c r="H31" s="16" t="s">
        <v>203</v>
      </c>
      <c r="I31" s="17">
        <v>28996</v>
      </c>
      <c r="J31" s="56">
        <f>Table21[[#This Row],[TRUMP VOTES]]/C125</f>
        <v>0.37846868718510979</v>
      </c>
      <c r="K31" s="18">
        <v>0.67600000000000005</v>
      </c>
      <c r="L31" s="17">
        <v>12895</v>
      </c>
      <c r="M31" s="56">
        <f>Table21[[#This Row],[BIDEN VOTES]]/C125</f>
        <v>0.16831127470175164</v>
      </c>
      <c r="N31" s="18">
        <v>0.30099999999999999</v>
      </c>
      <c r="O31" s="21">
        <f>1-(Table21[[#This Row],[NbP]]+Table21[[#This Row],[NbP2]])</f>
        <v>0.4532200381131386</v>
      </c>
    </row>
    <row r="32" spans="1:15" ht="20">
      <c r="A32" s="11" t="s">
        <v>69</v>
      </c>
      <c r="B32" s="12" t="s">
        <v>651</v>
      </c>
      <c r="C32" s="11">
        <v>2017</v>
      </c>
      <c r="D32" s="11" t="s">
        <v>295</v>
      </c>
      <c r="E32" s="11">
        <v>13.355589999999999</v>
      </c>
      <c r="F32" s="29">
        <f t="shared" si="0"/>
        <v>0.16312076288507465</v>
      </c>
      <c r="H32" s="16" t="s">
        <v>424</v>
      </c>
      <c r="I32" s="17">
        <v>14565</v>
      </c>
      <c r="J32" s="56">
        <f>Table21[[#This Row],[TRUMP VOTES]]/C126</f>
        <v>0.36263818344786375</v>
      </c>
      <c r="K32" s="18">
        <v>0.72</v>
      </c>
      <c r="L32" s="17">
        <v>5343</v>
      </c>
      <c r="M32" s="56">
        <f>Table21[[#This Row],[BIDEN VOTES]]/C126</f>
        <v>0.13302957872721841</v>
      </c>
      <c r="N32" s="18">
        <v>0.26400000000000001</v>
      </c>
      <c r="O32" s="21">
        <f>1-(Table21[[#This Row],[NbP]]+Table21[[#This Row],[NbP2]])</f>
        <v>0.50433223782491787</v>
      </c>
    </row>
    <row r="33" spans="1:15" ht="20">
      <c r="A33" s="13" t="s">
        <v>69</v>
      </c>
      <c r="B33" s="14" t="s">
        <v>1424</v>
      </c>
      <c r="C33" s="13">
        <v>2017</v>
      </c>
      <c r="D33" s="13" t="s">
        <v>295</v>
      </c>
      <c r="E33" s="13">
        <v>7.1619099999999998</v>
      </c>
      <c r="F33" s="29">
        <f t="shared" si="0"/>
        <v>6.5555099959563448E-2</v>
      </c>
      <c r="H33" s="16" t="s">
        <v>1461</v>
      </c>
      <c r="I33" s="17">
        <v>53802</v>
      </c>
      <c r="J33" s="56">
        <f>Table21[[#This Row],[TRUMP VOTES]]/C127</f>
        <v>0.32254235459156144</v>
      </c>
      <c r="K33" s="18">
        <v>0.60799999999999998</v>
      </c>
      <c r="L33" s="17">
        <v>32604</v>
      </c>
      <c r="M33" s="56">
        <f>Table21[[#This Row],[BIDEN VOTES]]/C127</f>
        <v>0.19546059494262796</v>
      </c>
      <c r="N33" s="18">
        <v>0.36899999999999999</v>
      </c>
      <c r="O33" s="21">
        <f>1-(Table21[[#This Row],[NbP]]+Table21[[#This Row],[NbP2]])</f>
        <v>0.48199705046581065</v>
      </c>
    </row>
    <row r="34" spans="1:15" ht="20">
      <c r="A34" s="11" t="s">
        <v>69</v>
      </c>
      <c r="B34" s="12" t="s">
        <v>110</v>
      </c>
      <c r="C34" s="11">
        <v>2017</v>
      </c>
      <c r="D34" s="11" t="s">
        <v>295</v>
      </c>
      <c r="E34" s="11">
        <v>23.36542</v>
      </c>
      <c r="F34" s="29">
        <f t="shared" ref="F34:F65" si="1">(E34-MIN(E:E))/(MAX(E:E)-MIN(E:E))</f>
        <v>0.32080015538221207</v>
      </c>
      <c r="H34" s="16" t="s">
        <v>209</v>
      </c>
      <c r="I34" s="17">
        <v>15043</v>
      </c>
      <c r="J34" s="56">
        <f>Table21[[#This Row],[TRUMP VOTES]]/C128</f>
        <v>0.31236762324016776</v>
      </c>
      <c r="K34" s="18">
        <v>0.71599999999999997</v>
      </c>
      <c r="L34" s="17">
        <v>5544</v>
      </c>
      <c r="M34" s="56">
        <f>Table21[[#This Row],[BIDEN VOTES]]/C128</f>
        <v>0.11512105984467794</v>
      </c>
      <c r="N34" s="18">
        <v>0.26400000000000001</v>
      </c>
      <c r="O34" s="21">
        <f>1-(Table21[[#This Row],[NbP]]+Table21[[#This Row],[NbP2]])</f>
        <v>0.57251131691515433</v>
      </c>
    </row>
    <row r="35" spans="1:15" ht="20">
      <c r="A35" s="13" t="s">
        <v>69</v>
      </c>
      <c r="B35" s="14" t="s">
        <v>661</v>
      </c>
      <c r="C35" s="13">
        <v>2017</v>
      </c>
      <c r="D35" s="13" t="s">
        <v>295</v>
      </c>
      <c r="E35" s="13">
        <v>22.0045</v>
      </c>
      <c r="F35" s="29">
        <f t="shared" si="1"/>
        <v>0.29936232488586956</v>
      </c>
      <c r="H35" s="16" t="s">
        <v>434</v>
      </c>
      <c r="I35" s="17">
        <v>26449</v>
      </c>
      <c r="J35" s="56">
        <f>Table21[[#This Row],[TRUMP VOTES]]/C129</f>
        <v>0.32064835244768808</v>
      </c>
      <c r="K35" s="18">
        <v>0.65100000000000002</v>
      </c>
      <c r="L35" s="17">
        <v>13303</v>
      </c>
      <c r="M35" s="56">
        <f>Table21[[#This Row],[BIDEN VOTES]]/C129</f>
        <v>0.16127585287200252</v>
      </c>
      <c r="N35" s="18">
        <v>0.32800000000000001</v>
      </c>
      <c r="O35" s="21">
        <f>1-(Table21[[#This Row],[NbP]]+Table21[[#This Row],[NbP2]])</f>
        <v>0.5180757946803094</v>
      </c>
    </row>
    <row r="36" spans="1:15" ht="20">
      <c r="A36" s="11" t="s">
        <v>69</v>
      </c>
      <c r="B36" s="12" t="s">
        <v>1425</v>
      </c>
      <c r="C36" s="11">
        <v>2017</v>
      </c>
      <c r="D36" s="11" t="s">
        <v>295</v>
      </c>
      <c r="E36" s="11">
        <v>18.419720000000002</v>
      </c>
      <c r="F36" s="29">
        <f t="shared" si="1"/>
        <v>0.24289324073200397</v>
      </c>
      <c r="H36" s="16" t="s">
        <v>1462</v>
      </c>
      <c r="I36" s="17">
        <v>13147</v>
      </c>
      <c r="J36" s="56">
        <f>Table21[[#This Row],[TRUMP VOTES]]/C130</f>
        <v>0.36166817969244314</v>
      </c>
      <c r="K36" s="18">
        <v>0.73799999999999999</v>
      </c>
      <c r="L36" s="17">
        <v>4255</v>
      </c>
      <c r="M36" s="56">
        <f>Table21[[#This Row],[BIDEN VOTES]]/C130</f>
        <v>0.11705317597865258</v>
      </c>
      <c r="N36" s="18">
        <v>0.23899999999999999</v>
      </c>
      <c r="O36" s="21">
        <f>1-(Table21[[#This Row],[NbP]]+Table21[[#This Row],[NbP2]])</f>
        <v>0.52127864432890425</v>
      </c>
    </row>
    <row r="37" spans="1:15" ht="20">
      <c r="A37" s="13" t="s">
        <v>69</v>
      </c>
      <c r="B37" s="14" t="s">
        <v>114</v>
      </c>
      <c r="C37" s="13">
        <v>2017</v>
      </c>
      <c r="D37" s="13" t="s">
        <v>295</v>
      </c>
      <c r="E37" s="13">
        <v>28.188669999999998</v>
      </c>
      <c r="F37" s="29">
        <f t="shared" si="1"/>
        <v>0.39677818196825965</v>
      </c>
      <c r="H37" s="16" t="s">
        <v>213</v>
      </c>
      <c r="I37" s="17">
        <v>14555</v>
      </c>
      <c r="J37" s="56">
        <f>Table21[[#This Row],[TRUMP VOTES]]/C131</f>
        <v>0.33021757379131972</v>
      </c>
      <c r="K37" s="18">
        <v>0.75700000000000001</v>
      </c>
      <c r="L37" s="17">
        <v>4302</v>
      </c>
      <c r="M37" s="56">
        <f>Table21[[#This Row],[BIDEN VOTES]]/C131</f>
        <v>9.7601923905891966E-2</v>
      </c>
      <c r="N37" s="18">
        <v>0.224</v>
      </c>
      <c r="O37" s="21">
        <f>1-(Table21[[#This Row],[NbP]]+Table21[[#This Row],[NbP2]])</f>
        <v>0.57218050230278839</v>
      </c>
    </row>
    <row r="38" spans="1:15" ht="20">
      <c r="A38" s="11" t="s">
        <v>69</v>
      </c>
      <c r="B38" s="12" t="s">
        <v>667</v>
      </c>
      <c r="C38" s="11">
        <v>2017</v>
      </c>
      <c r="D38" s="11" t="s">
        <v>295</v>
      </c>
      <c r="E38" s="11">
        <v>13.98068</v>
      </c>
      <c r="F38" s="29">
        <f t="shared" si="1"/>
        <v>0.17296746472277175</v>
      </c>
      <c r="H38" s="16" t="s">
        <v>440</v>
      </c>
      <c r="I38" s="17">
        <v>11383</v>
      </c>
      <c r="J38" s="56">
        <f>Table21[[#This Row],[TRUMP VOTES]]/C132</f>
        <v>0.34047198875362666</v>
      </c>
      <c r="K38" s="18">
        <v>0.73599999999999999</v>
      </c>
      <c r="L38" s="17">
        <v>3798</v>
      </c>
      <c r="M38" s="56">
        <f>Table21[[#This Row],[BIDEN VOTES]]/C132</f>
        <v>0.11360033499835492</v>
      </c>
      <c r="N38" s="18">
        <v>0.246</v>
      </c>
      <c r="O38" s="21">
        <f>1-(Table21[[#This Row],[NbP]]+Table21[[#This Row],[NbP2]])</f>
        <v>0.54592767624801841</v>
      </c>
    </row>
    <row r="39" spans="1:15" ht="20">
      <c r="A39" s="13" t="s">
        <v>69</v>
      </c>
      <c r="B39" s="14" t="s">
        <v>1426</v>
      </c>
      <c r="C39" s="13">
        <v>2017</v>
      </c>
      <c r="D39" s="13" t="s">
        <v>295</v>
      </c>
      <c r="E39" s="13">
        <v>31.209599999999998</v>
      </c>
      <c r="F39" s="29">
        <f t="shared" si="1"/>
        <v>0.4443652446033271</v>
      </c>
      <c r="H39" s="16" t="s">
        <v>1463</v>
      </c>
      <c r="I39" s="17">
        <v>6361</v>
      </c>
      <c r="J39" s="56">
        <f>Table21[[#This Row],[TRUMP VOTES]]/C133</f>
        <v>0.30733922790742618</v>
      </c>
      <c r="K39" s="18">
        <v>0.752</v>
      </c>
      <c r="L39" s="17">
        <v>1926</v>
      </c>
      <c r="M39" s="56">
        <f>Table21[[#This Row],[BIDEN VOTES]]/C133</f>
        <v>9.3056964777503984E-2</v>
      </c>
      <c r="N39" s="18">
        <v>0.22800000000000001</v>
      </c>
      <c r="O39" s="21">
        <f>1-(Table21[[#This Row],[NbP]]+Table21[[#This Row],[NbP2]])</f>
        <v>0.59960380731506979</v>
      </c>
    </row>
    <row r="40" spans="1:15" ht="20">
      <c r="A40" s="11" t="s">
        <v>69</v>
      </c>
      <c r="B40" s="12" t="s">
        <v>115</v>
      </c>
      <c r="C40" s="11">
        <v>2017</v>
      </c>
      <c r="D40" s="11" t="s">
        <v>295</v>
      </c>
      <c r="E40" s="11">
        <v>37.132860000000001</v>
      </c>
      <c r="F40" s="29">
        <f t="shared" si="1"/>
        <v>0.5376711287594611</v>
      </c>
      <c r="H40" s="16" t="s">
        <v>214</v>
      </c>
      <c r="I40" s="17">
        <v>9663</v>
      </c>
      <c r="J40" s="56">
        <f>Table21[[#This Row],[TRUMP VOTES]]/C134</f>
        <v>0.30040103211365687</v>
      </c>
      <c r="K40" s="18">
        <v>0.65800000000000003</v>
      </c>
      <c r="L40" s="17">
        <v>4731</v>
      </c>
      <c r="M40" s="56">
        <f>Table21[[#This Row],[BIDEN VOTES]]/C134</f>
        <v>0.14707619610159481</v>
      </c>
      <c r="N40" s="18">
        <v>0.32200000000000001</v>
      </c>
      <c r="O40" s="21">
        <f>1-(Table21[[#This Row],[NbP]]+Table21[[#This Row],[NbP2]])</f>
        <v>0.55252277178474829</v>
      </c>
    </row>
    <row r="41" spans="1:15" ht="20">
      <c r="A41" s="13" t="s">
        <v>69</v>
      </c>
      <c r="B41" s="14" t="s">
        <v>1427</v>
      </c>
      <c r="C41" s="13">
        <v>2017</v>
      </c>
      <c r="D41" s="13" t="s">
        <v>295</v>
      </c>
      <c r="E41" s="13">
        <v>37.095010000000002</v>
      </c>
      <c r="F41" s="29">
        <f t="shared" si="1"/>
        <v>0.53707489835334865</v>
      </c>
      <c r="H41" s="16" t="s">
        <v>1464</v>
      </c>
      <c r="I41" s="17">
        <v>9490</v>
      </c>
      <c r="J41" s="56">
        <f>Table21[[#This Row],[TRUMP VOTES]]/C135</f>
        <v>0.34335540359636746</v>
      </c>
      <c r="K41" s="18">
        <v>0.77500000000000002</v>
      </c>
      <c r="L41" s="17">
        <v>2523</v>
      </c>
      <c r="M41" s="56">
        <f>Table21[[#This Row],[BIDEN VOTES]]/C135</f>
        <v>9.1284055139476822E-2</v>
      </c>
      <c r="N41" s="18">
        <v>0.20599999999999999</v>
      </c>
      <c r="O41" s="21">
        <f>1-(Table21[[#This Row],[NbP]]+Table21[[#This Row],[NbP2]])</f>
        <v>0.56536054126415569</v>
      </c>
    </row>
    <row r="42" spans="1:15" ht="20">
      <c r="A42" s="11" t="s">
        <v>69</v>
      </c>
      <c r="B42" s="12" t="s">
        <v>116</v>
      </c>
      <c r="C42" s="11">
        <v>2017</v>
      </c>
      <c r="D42" s="11" t="s">
        <v>295</v>
      </c>
      <c r="E42" s="11">
        <v>10.378539999999999</v>
      </c>
      <c r="F42" s="29">
        <f t="shared" si="1"/>
        <v>0.11622491795727838</v>
      </c>
      <c r="H42" s="16" t="s">
        <v>215</v>
      </c>
      <c r="I42" s="17">
        <v>51219</v>
      </c>
      <c r="J42" s="56">
        <f>Table21[[#This Row],[TRUMP VOTES]]/C136</f>
        <v>0.32801572866767426</v>
      </c>
      <c r="K42" s="18">
        <v>0.66</v>
      </c>
      <c r="L42" s="17">
        <v>24736</v>
      </c>
      <c r="M42" s="56">
        <f>Table21[[#This Row],[BIDEN VOTES]]/C136</f>
        <v>0.15841381253682404</v>
      </c>
      <c r="N42" s="18">
        <v>0.31900000000000001</v>
      </c>
      <c r="O42" s="21">
        <f>1-(Table21[[#This Row],[NbP]]+Table21[[#This Row],[NbP2]])</f>
        <v>0.51357045879550167</v>
      </c>
    </row>
    <row r="43" spans="1:15" ht="20">
      <c r="A43" s="13" t="s">
        <v>69</v>
      </c>
      <c r="B43" s="14" t="s">
        <v>117</v>
      </c>
      <c r="C43" s="13">
        <v>2017</v>
      </c>
      <c r="D43" s="13" t="s">
        <v>295</v>
      </c>
      <c r="E43" s="13">
        <v>38.687130000000003</v>
      </c>
      <c r="F43" s="29">
        <f t="shared" si="1"/>
        <v>0.56215469635017212</v>
      </c>
      <c r="H43" s="16" t="s">
        <v>216</v>
      </c>
      <c r="I43" s="17">
        <v>11655</v>
      </c>
      <c r="J43" s="56">
        <f>Table21[[#This Row],[TRUMP VOTES]]/C137</f>
        <v>0.31642820297016261</v>
      </c>
      <c r="K43" s="18">
        <v>0.72799999999999998</v>
      </c>
      <c r="L43" s="17">
        <v>4067</v>
      </c>
      <c r="M43" s="56">
        <f>Table21[[#This Row],[BIDEN VOTES]]/C137</f>
        <v>0.11041728884424293</v>
      </c>
      <c r="N43" s="18">
        <v>0.254</v>
      </c>
      <c r="O43" s="21">
        <f>1-(Table21[[#This Row],[NbP]]+Table21[[#This Row],[NbP2]])</f>
        <v>0.57315450818559444</v>
      </c>
    </row>
    <row r="44" spans="1:15" ht="20">
      <c r="A44" s="11" t="s">
        <v>69</v>
      </c>
      <c r="B44" s="12" t="s">
        <v>1428</v>
      </c>
      <c r="C44" s="11">
        <v>2017</v>
      </c>
      <c r="D44" s="11" t="s">
        <v>295</v>
      </c>
      <c r="E44" s="11">
        <v>12.26094</v>
      </c>
      <c r="F44" s="29">
        <f t="shared" si="1"/>
        <v>0.14587733847157397</v>
      </c>
      <c r="H44" s="16" t="s">
        <v>1465</v>
      </c>
      <c r="I44" s="17">
        <v>26499</v>
      </c>
      <c r="J44" s="56">
        <f>Table21[[#This Row],[TRUMP VOTES]]/C138</f>
        <v>0.33476931628682599</v>
      </c>
      <c r="K44" s="18">
        <v>0.74099999999999999</v>
      </c>
      <c r="L44" s="17">
        <v>8364</v>
      </c>
      <c r="M44" s="56">
        <f>Table21[[#This Row],[BIDEN VOTES]]/C138</f>
        <v>0.10566476325231189</v>
      </c>
      <c r="N44" s="18">
        <v>0.23400000000000001</v>
      </c>
      <c r="O44" s="21">
        <f>1-(Table21[[#This Row],[NbP]]+Table21[[#This Row],[NbP2]])</f>
        <v>0.55956592046086207</v>
      </c>
    </row>
    <row r="45" spans="1:15" ht="20">
      <c r="A45" s="13" t="s">
        <v>69</v>
      </c>
      <c r="B45" s="14" t="s">
        <v>1429</v>
      </c>
      <c r="C45" s="13">
        <v>2017</v>
      </c>
      <c r="D45" s="13" t="s">
        <v>295</v>
      </c>
      <c r="E45" s="13">
        <v>10.051030000000001</v>
      </c>
      <c r="F45" s="29">
        <f t="shared" si="1"/>
        <v>0.11106583155553756</v>
      </c>
      <c r="H45" s="16" t="s">
        <v>1466</v>
      </c>
      <c r="I45" s="17">
        <v>8110</v>
      </c>
      <c r="J45" s="56">
        <f>Table21[[#This Row],[TRUMP VOTES]]/C139</f>
        <v>0.20512431393378355</v>
      </c>
      <c r="K45" s="18">
        <v>0.76300000000000001</v>
      </c>
      <c r="L45" s="17">
        <v>2355</v>
      </c>
      <c r="M45" s="56">
        <f>Table21[[#This Row],[BIDEN VOTES]]/C139</f>
        <v>5.9564458608392136E-2</v>
      </c>
      <c r="N45" s="18">
        <v>0.221</v>
      </c>
      <c r="O45" s="21">
        <f>1-(Table21[[#This Row],[NbP]]+Table21[[#This Row],[NbP2]])</f>
        <v>0.73531122745782429</v>
      </c>
    </row>
    <row r="46" spans="1:15" ht="20">
      <c r="A46" s="11" t="s">
        <v>69</v>
      </c>
      <c r="B46" s="12" t="s">
        <v>118</v>
      </c>
      <c r="C46" s="11">
        <v>2017</v>
      </c>
      <c r="D46" s="11" t="s">
        <v>295</v>
      </c>
      <c r="E46" s="11">
        <v>19.586030000000001</v>
      </c>
      <c r="F46" s="29">
        <f t="shared" si="1"/>
        <v>0.2612654860411987</v>
      </c>
      <c r="H46" s="16" t="s">
        <v>217</v>
      </c>
      <c r="I46" s="17">
        <v>91760</v>
      </c>
      <c r="J46" s="56">
        <f>Table21[[#This Row],[TRUMP VOTES]]/C140</f>
        <v>0.18881318893870774</v>
      </c>
      <c r="K46" s="18">
        <v>0.41699999999999998</v>
      </c>
      <c r="L46" s="17">
        <v>124870</v>
      </c>
      <c r="M46" s="56">
        <f>Table21[[#This Row],[BIDEN VOTES]]/C140</f>
        <v>0.2569431441017484</v>
      </c>
      <c r="N46" s="18">
        <v>0.56799999999999995</v>
      </c>
      <c r="O46" s="21">
        <f>1-(Table21[[#This Row],[NbP]]+Table21[[#This Row],[NbP2]])</f>
        <v>0.55424366695954386</v>
      </c>
    </row>
    <row r="47" spans="1:15" ht="20">
      <c r="A47" s="13" t="s">
        <v>69</v>
      </c>
      <c r="B47" s="14" t="s">
        <v>1430</v>
      </c>
      <c r="C47" s="13">
        <v>2017</v>
      </c>
      <c r="D47" s="13" t="s">
        <v>295</v>
      </c>
      <c r="E47" s="13">
        <v>15.382680000000001</v>
      </c>
      <c r="F47" s="29">
        <f t="shared" si="1"/>
        <v>0.19505240605354227</v>
      </c>
      <c r="H47" s="16" t="s">
        <v>1467</v>
      </c>
      <c r="I47" s="17">
        <v>25997</v>
      </c>
      <c r="J47" s="56">
        <f>Table21[[#This Row],[TRUMP VOTES]]/C141</f>
        <v>0.23628051551451476</v>
      </c>
      <c r="K47" s="18">
        <v>0.52600000000000002</v>
      </c>
      <c r="L47" s="17">
        <v>22427</v>
      </c>
      <c r="M47" s="56">
        <f>Table21[[#This Row],[BIDEN VOTES]]/C141</f>
        <v>0.20383363932161488</v>
      </c>
      <c r="N47" s="18">
        <v>0.45400000000000001</v>
      </c>
      <c r="O47" s="21">
        <f>1-(Table21[[#This Row],[NbP]]+Table21[[#This Row],[NbP2]])</f>
        <v>0.55988584516387041</v>
      </c>
    </row>
    <row r="48" spans="1:15" ht="20">
      <c r="A48" s="11" t="s">
        <v>69</v>
      </c>
      <c r="B48" s="12" t="s">
        <v>120</v>
      </c>
      <c r="C48" s="11">
        <v>2017</v>
      </c>
      <c r="D48" s="11" t="s">
        <v>295</v>
      </c>
      <c r="E48" s="11">
        <v>33.58916</v>
      </c>
      <c r="F48" s="29">
        <f t="shared" si="1"/>
        <v>0.48184915544002355</v>
      </c>
      <c r="H48" s="16" t="s">
        <v>219</v>
      </c>
      <c r="I48" s="17">
        <v>15601</v>
      </c>
      <c r="J48" s="56">
        <f>Table21[[#This Row],[TRUMP VOTES]]/C142</f>
        <v>0.34248770635756937</v>
      </c>
      <c r="K48" s="18">
        <v>0.74199999999999999</v>
      </c>
      <c r="L48" s="17">
        <v>4961</v>
      </c>
      <c r="M48" s="56">
        <f>Table21[[#This Row],[BIDEN VOTES]]/C142</f>
        <v>0.10890850017562347</v>
      </c>
      <c r="N48" s="18">
        <v>0.23599999999999999</v>
      </c>
      <c r="O48" s="21">
        <f>1-(Table21[[#This Row],[NbP]]+Table21[[#This Row],[NbP2]])</f>
        <v>0.5486037934668071</v>
      </c>
    </row>
    <row r="49" spans="1:15" ht="20">
      <c r="A49" s="13" t="s">
        <v>69</v>
      </c>
      <c r="B49" s="14" t="s">
        <v>125</v>
      </c>
      <c r="C49" s="13">
        <v>2017</v>
      </c>
      <c r="D49" s="13" t="s">
        <v>295</v>
      </c>
      <c r="E49" s="13">
        <v>41.991880000000002</v>
      </c>
      <c r="F49" s="29">
        <f t="shared" si="1"/>
        <v>0.61421262064608062</v>
      </c>
      <c r="H49" s="16" t="s">
        <v>226</v>
      </c>
      <c r="I49" s="17">
        <v>31215</v>
      </c>
      <c r="J49" s="56">
        <f>Table21[[#This Row],[TRUMP VOTES]]/C143</f>
        <v>0.2410685325054446</v>
      </c>
      <c r="K49" s="18">
        <v>0.60299999999999998</v>
      </c>
      <c r="L49" s="17">
        <v>19524</v>
      </c>
      <c r="M49" s="56">
        <f>Table21[[#This Row],[BIDEN VOTES]]/C143</f>
        <v>0.15078077938927761</v>
      </c>
      <c r="N49" s="18">
        <v>0.377</v>
      </c>
      <c r="O49" s="21">
        <f>1-(Table21[[#This Row],[NbP]]+Table21[[#This Row],[NbP2]])</f>
        <v>0.60815068810527784</v>
      </c>
    </row>
    <row r="50" spans="1:15" ht="20">
      <c r="A50" s="11" t="s">
        <v>69</v>
      </c>
      <c r="B50" s="12" t="s">
        <v>126</v>
      </c>
      <c r="C50" s="11">
        <v>2017</v>
      </c>
      <c r="D50" s="11" t="s">
        <v>295</v>
      </c>
      <c r="E50" s="11">
        <v>21.127600000000001</v>
      </c>
      <c r="F50" s="29">
        <f t="shared" si="1"/>
        <v>0.28554899745865653</v>
      </c>
      <c r="H50" s="16" t="s">
        <v>227</v>
      </c>
      <c r="I50" s="17">
        <v>134175</v>
      </c>
      <c r="J50" s="56">
        <f>Table21[[#This Row],[TRUMP VOTES]]/C144</f>
        <v>0.14015440748660085</v>
      </c>
      <c r="K50" s="18">
        <v>0.34499999999999997</v>
      </c>
      <c r="L50" s="17">
        <v>247772</v>
      </c>
      <c r="M50" s="56">
        <f>Table21[[#This Row],[BIDEN VOTES]]/C144</f>
        <v>0.25881377195282329</v>
      </c>
      <c r="N50" s="18">
        <v>0.63700000000000001</v>
      </c>
      <c r="O50" s="21">
        <f>1-(Table21[[#This Row],[NbP]]+Table21[[#This Row],[NbP2]])</f>
        <v>0.6010318205605758</v>
      </c>
    </row>
    <row r="51" spans="1:15" ht="20">
      <c r="A51" s="13" t="s">
        <v>69</v>
      </c>
      <c r="B51" s="14" t="s">
        <v>127</v>
      </c>
      <c r="C51" s="13">
        <v>2017</v>
      </c>
      <c r="D51" s="13" t="s">
        <v>295</v>
      </c>
      <c r="E51" s="13">
        <v>13.215479999999999</v>
      </c>
      <c r="F51" s="29">
        <f t="shared" si="1"/>
        <v>0.16091368647291041</v>
      </c>
      <c r="H51" s="16" t="s">
        <v>228</v>
      </c>
      <c r="I51" s="17">
        <v>13844</v>
      </c>
      <c r="J51" s="56">
        <f>Table21[[#This Row],[TRUMP VOTES]]/C145</f>
        <v>0.29877417127071826</v>
      </c>
      <c r="K51" s="18">
        <v>0.69499999999999995</v>
      </c>
      <c r="L51" s="17">
        <v>5712</v>
      </c>
      <c r="M51" s="56">
        <f>Table21[[#This Row],[BIDEN VOTES]]/C145</f>
        <v>0.12327348066298342</v>
      </c>
      <c r="N51" s="18">
        <v>0.28699999999999998</v>
      </c>
      <c r="O51" s="21">
        <f>1-(Table21[[#This Row],[NbP]]+Table21[[#This Row],[NbP2]])</f>
        <v>0.57795234806629825</v>
      </c>
    </row>
    <row r="52" spans="1:15" ht="20">
      <c r="A52" s="11" t="s">
        <v>69</v>
      </c>
      <c r="B52" s="12" t="s">
        <v>700</v>
      </c>
      <c r="C52" s="11">
        <v>2017</v>
      </c>
      <c r="D52" s="11" t="s">
        <v>295</v>
      </c>
      <c r="E52" s="11">
        <v>40.976460000000003</v>
      </c>
      <c r="F52" s="29">
        <f t="shared" si="1"/>
        <v>0.59821726320949653</v>
      </c>
      <c r="H52" s="16" t="s">
        <v>469</v>
      </c>
      <c r="I52" s="17">
        <v>4029</v>
      </c>
      <c r="J52" s="56">
        <f>Table21[[#This Row],[TRUMP VOTES]]/C146</f>
        <v>0.39620414986724356</v>
      </c>
      <c r="K52" s="18">
        <v>0.78300000000000003</v>
      </c>
      <c r="L52" s="17">
        <v>1011</v>
      </c>
      <c r="M52" s="56">
        <f>Table21[[#This Row],[BIDEN VOTES]]/C146</f>
        <v>9.9419805290589039E-2</v>
      </c>
      <c r="N52" s="18">
        <v>0.19700000000000001</v>
      </c>
      <c r="O52" s="21">
        <f>1-(Table21[[#This Row],[NbP]]+Table21[[#This Row],[NbP2]])</f>
        <v>0.50437604484216747</v>
      </c>
    </row>
    <row r="53" spans="1:15" ht="20">
      <c r="A53" s="13" t="s">
        <v>69</v>
      </c>
      <c r="B53" s="14" t="s">
        <v>1431</v>
      </c>
      <c r="C53" s="13">
        <v>2017</v>
      </c>
      <c r="D53" s="13" t="s">
        <v>295</v>
      </c>
      <c r="E53" s="13">
        <v>25.323</v>
      </c>
      <c r="F53" s="29">
        <f t="shared" si="1"/>
        <v>0.35163684543234741</v>
      </c>
      <c r="H53" s="16" t="s">
        <v>1468</v>
      </c>
      <c r="I53" s="17">
        <v>10925</v>
      </c>
      <c r="J53" s="56">
        <f>Table21[[#This Row],[TRUMP VOTES]]/C147</f>
        <v>0.30615962336060981</v>
      </c>
      <c r="K53" s="18">
        <v>0.755</v>
      </c>
      <c r="L53" s="17">
        <v>3235</v>
      </c>
      <c r="M53" s="56">
        <f>Table21[[#This Row],[BIDEN VOTES]]/C147</f>
        <v>9.0656877031722899E-2</v>
      </c>
      <c r="N53" s="18">
        <v>0.224</v>
      </c>
      <c r="O53" s="21">
        <f>1-(Table21[[#This Row],[NbP]]+Table21[[#This Row],[NbP2]])</f>
        <v>0.60318349960766726</v>
      </c>
    </row>
    <row r="54" spans="1:15" ht="20">
      <c r="A54" s="11" t="s">
        <v>69</v>
      </c>
      <c r="B54" s="12" t="s">
        <v>132</v>
      </c>
      <c r="C54" s="11">
        <v>2017</v>
      </c>
      <c r="D54" s="11" t="s">
        <v>295</v>
      </c>
      <c r="E54" s="11">
        <v>23.17428</v>
      </c>
      <c r="F54" s="29">
        <f t="shared" si="1"/>
        <v>0.31778923121248054</v>
      </c>
      <c r="H54" s="16" t="s">
        <v>231</v>
      </c>
      <c r="I54" s="17">
        <v>22071</v>
      </c>
      <c r="J54" s="56">
        <f>Table21[[#This Row],[TRUMP VOTES]]/C148</f>
        <v>0.149818759418401</v>
      </c>
      <c r="K54" s="18">
        <v>0.35</v>
      </c>
      <c r="L54" s="17">
        <v>39861</v>
      </c>
      <c r="M54" s="56">
        <f>Table21[[#This Row],[BIDEN VOTES]]/C148</f>
        <v>0.27057793345008757</v>
      </c>
      <c r="N54" s="18">
        <v>0.63200000000000001</v>
      </c>
      <c r="O54" s="21">
        <f>1-(Table21[[#This Row],[NbP]]+Table21[[#This Row],[NbP2]])</f>
        <v>0.57960330713151142</v>
      </c>
    </row>
    <row r="55" spans="1:15" ht="20">
      <c r="A55" s="13" t="s">
        <v>69</v>
      </c>
      <c r="B55" s="14" t="s">
        <v>133</v>
      </c>
      <c r="C55" s="13">
        <v>2017</v>
      </c>
      <c r="D55" s="13" t="s">
        <v>295</v>
      </c>
      <c r="E55" s="13">
        <v>27.355619999999998</v>
      </c>
      <c r="F55" s="29">
        <f t="shared" si="1"/>
        <v>0.38365559967468021</v>
      </c>
      <c r="H55" s="16" t="s">
        <v>232</v>
      </c>
      <c r="I55" s="17">
        <v>12659</v>
      </c>
      <c r="J55" s="56">
        <f>Table21[[#This Row],[TRUMP VOTES]]/C149</f>
        <v>0.33056534795665232</v>
      </c>
      <c r="K55" s="18">
        <v>0.73599999999999999</v>
      </c>
      <c r="L55" s="17">
        <v>4213</v>
      </c>
      <c r="M55" s="56">
        <f>Table21[[#This Row],[BIDEN VOTES]]/C149</f>
        <v>0.11001436218827523</v>
      </c>
      <c r="N55" s="18">
        <v>0.245</v>
      </c>
      <c r="O55" s="21">
        <f>1-(Table21[[#This Row],[NbP]]+Table21[[#This Row],[NbP2]])</f>
        <v>0.55942028985507242</v>
      </c>
    </row>
    <row r="56" spans="1:15" ht="20">
      <c r="A56" s="11" t="s">
        <v>69</v>
      </c>
      <c r="B56" s="12" t="s">
        <v>135</v>
      </c>
      <c r="C56" s="11">
        <v>2017</v>
      </c>
      <c r="D56" s="11" t="s">
        <v>295</v>
      </c>
      <c r="E56" s="11">
        <v>17.216370000000001</v>
      </c>
      <c r="F56" s="29">
        <f t="shared" si="1"/>
        <v>0.22393752450491217</v>
      </c>
      <c r="H56" s="16" t="s">
        <v>234</v>
      </c>
      <c r="I56" s="17">
        <v>27512</v>
      </c>
      <c r="J56" s="56">
        <f>Table21[[#This Row],[TRUMP VOTES]]/C150</f>
        <v>0.39223849103947761</v>
      </c>
      <c r="K56" s="18">
        <v>0.76100000000000001</v>
      </c>
      <c r="L56" s="17">
        <v>7781</v>
      </c>
      <c r="M56" s="56">
        <f>Table21[[#This Row],[BIDEN VOTES]]/C150</f>
        <v>0.1109336907087153</v>
      </c>
      <c r="N56" s="18">
        <v>0.215</v>
      </c>
      <c r="O56" s="21">
        <f>1-(Table21[[#This Row],[NbP]]+Table21[[#This Row],[NbP2]])</f>
        <v>0.49682781825180711</v>
      </c>
    </row>
    <row r="57" spans="1:15" ht="20">
      <c r="A57" s="13" t="s">
        <v>69</v>
      </c>
      <c r="B57" s="14" t="s">
        <v>715</v>
      </c>
      <c r="C57" s="13">
        <v>2017</v>
      </c>
      <c r="D57" s="13" t="s">
        <v>295</v>
      </c>
      <c r="E57" s="13">
        <v>26.31579</v>
      </c>
      <c r="F57" s="29">
        <f t="shared" si="1"/>
        <v>0.36727572482163101</v>
      </c>
      <c r="H57" s="16" t="s">
        <v>487</v>
      </c>
      <c r="I57" s="17">
        <v>4942</v>
      </c>
      <c r="J57" s="56">
        <f>Table21[[#This Row],[TRUMP VOTES]]/C151</f>
        <v>0.35347972248050924</v>
      </c>
      <c r="K57" s="18">
        <v>0.75</v>
      </c>
      <c r="L57" s="17">
        <v>1509</v>
      </c>
      <c r="M57" s="56">
        <f>Table21[[#This Row],[BIDEN VOTES]]/C151</f>
        <v>0.10793219369143837</v>
      </c>
      <c r="N57" s="18">
        <v>0.22900000000000001</v>
      </c>
      <c r="O57" s="21">
        <f>1-(Table21[[#This Row],[NbP]]+Table21[[#This Row],[NbP2]])</f>
        <v>0.53858808382805234</v>
      </c>
    </row>
    <row r="58" spans="1:15" ht="20">
      <c r="A58" s="11" t="s">
        <v>69</v>
      </c>
      <c r="B58" s="12" t="s">
        <v>1432</v>
      </c>
      <c r="C58" s="11">
        <v>2017</v>
      </c>
      <c r="D58" s="11" t="s">
        <v>295</v>
      </c>
      <c r="E58" s="11">
        <v>22.21284</v>
      </c>
      <c r="F58" s="29">
        <f t="shared" si="1"/>
        <v>0.30264419127449488</v>
      </c>
      <c r="H58" s="16" t="s">
        <v>1469</v>
      </c>
      <c r="I58" s="17">
        <v>14195</v>
      </c>
      <c r="J58" s="56">
        <f>Table21[[#This Row],[TRUMP VOTES]]/C152</f>
        <v>0.29796389588581024</v>
      </c>
      <c r="K58" s="18">
        <v>0.74</v>
      </c>
      <c r="L58" s="17">
        <v>4660</v>
      </c>
      <c r="M58" s="56">
        <f>Table21[[#This Row],[BIDEN VOTES]]/C152</f>
        <v>9.7816960537363565E-2</v>
      </c>
      <c r="N58" s="18">
        <v>0.24299999999999999</v>
      </c>
      <c r="O58" s="21">
        <f>1-(Table21[[#This Row],[NbP]]+Table21[[#This Row],[NbP2]])</f>
        <v>0.60421914357682627</v>
      </c>
    </row>
    <row r="59" spans="1:15" ht="20">
      <c r="A59" s="13" t="s">
        <v>69</v>
      </c>
      <c r="B59" s="14" t="s">
        <v>9</v>
      </c>
      <c r="C59" s="13">
        <v>2017</v>
      </c>
      <c r="D59" s="13" t="s">
        <v>295</v>
      </c>
      <c r="E59" s="13">
        <v>20.795660000000002</v>
      </c>
      <c r="F59" s="29">
        <f t="shared" si="1"/>
        <v>0.28032012768309589</v>
      </c>
      <c r="H59" s="16" t="s">
        <v>843</v>
      </c>
      <c r="I59" s="17">
        <v>2054</v>
      </c>
      <c r="J59" s="56">
        <f>Table21[[#This Row],[TRUMP VOTES]]/C153</f>
        <v>0.34872665534804753</v>
      </c>
      <c r="K59" s="18">
        <v>0.66800000000000004</v>
      </c>
      <c r="L59" s="19">
        <v>668</v>
      </c>
      <c r="M59" s="56">
        <f>Table21[[#This Row],[BIDEN VOTES]]/C153</f>
        <v>0.1134125636672326</v>
      </c>
      <c r="N59" s="18">
        <v>0.217</v>
      </c>
      <c r="O59" s="21">
        <f>1-(Table21[[#This Row],[NbP]]+Table21[[#This Row],[NbP2]])</f>
        <v>0.5378607809847199</v>
      </c>
    </row>
    <row r="60" spans="1:15" ht="20">
      <c r="A60" s="11" t="s">
        <v>69</v>
      </c>
      <c r="B60" s="12" t="s">
        <v>720</v>
      </c>
      <c r="C60" s="11">
        <v>2017</v>
      </c>
      <c r="D60" s="11" t="s">
        <v>295</v>
      </c>
      <c r="E60" s="11">
        <v>52.205219999999997</v>
      </c>
      <c r="F60" s="29">
        <f t="shared" si="1"/>
        <v>0.77509779517618882</v>
      </c>
      <c r="H60" s="16" t="s">
        <v>491</v>
      </c>
      <c r="I60" s="17">
        <v>6432</v>
      </c>
      <c r="J60" s="56">
        <f>Table21[[#This Row],[TRUMP VOTES]]/C154</f>
        <v>0.32896890343698854</v>
      </c>
      <c r="K60" s="18">
        <v>0.72799999999999998</v>
      </c>
      <c r="L60" s="17">
        <v>2224</v>
      </c>
      <c r="M60" s="56">
        <f>Table21[[#This Row],[BIDEN VOTES]]/C154</f>
        <v>0.11374795417348608</v>
      </c>
      <c r="N60" s="18">
        <v>0.252</v>
      </c>
      <c r="O60" s="21">
        <f>1-(Table21[[#This Row],[NbP]]+Table21[[#This Row],[NbP2]])</f>
        <v>0.55728314238952537</v>
      </c>
    </row>
    <row r="61" spans="1:15" ht="20">
      <c r="A61" s="13" t="s">
        <v>69</v>
      </c>
      <c r="B61" s="14" t="s">
        <v>1433</v>
      </c>
      <c r="C61" s="13">
        <v>2017</v>
      </c>
      <c r="D61" s="13" t="s">
        <v>295</v>
      </c>
      <c r="E61" s="13">
        <v>40.555680000000002</v>
      </c>
      <c r="F61" s="29">
        <f t="shared" si="1"/>
        <v>0.59158894536843976</v>
      </c>
      <c r="H61" s="16" t="s">
        <v>1470</v>
      </c>
      <c r="I61" s="17">
        <v>7286</v>
      </c>
      <c r="J61" s="56">
        <f>Table21[[#This Row],[TRUMP VOTES]]/C155</f>
        <v>0.34938141363767145</v>
      </c>
      <c r="K61" s="18">
        <v>0.73599999999999999</v>
      </c>
      <c r="L61" s="17">
        <v>2420</v>
      </c>
      <c r="M61" s="56">
        <f>Table21[[#This Row],[BIDEN VOTES]]/C155</f>
        <v>0.11604488347559221</v>
      </c>
      <c r="N61" s="18">
        <v>0.24399999999999999</v>
      </c>
      <c r="O61" s="21">
        <f>1-(Table21[[#This Row],[NbP]]+Table21[[#This Row],[NbP2]])</f>
        <v>0.53457370288673633</v>
      </c>
    </row>
    <row r="62" spans="1:15" ht="20">
      <c r="A62" s="11" t="s">
        <v>69</v>
      </c>
      <c r="B62" s="12" t="s">
        <v>1434</v>
      </c>
      <c r="C62" s="11">
        <v>2017</v>
      </c>
      <c r="D62" s="11" t="s">
        <v>295</v>
      </c>
      <c r="E62" s="11">
        <v>24.39686</v>
      </c>
      <c r="F62" s="29">
        <f t="shared" si="1"/>
        <v>0.3370478671412776</v>
      </c>
      <c r="H62" s="16" t="s">
        <v>1471</v>
      </c>
      <c r="I62" s="17">
        <v>5400</v>
      </c>
      <c r="J62" s="56">
        <f>Table21[[#This Row],[TRUMP VOTES]]/C156</f>
        <v>0.3192999053926206</v>
      </c>
      <c r="K62" s="18">
        <v>0.77</v>
      </c>
      <c r="L62" s="17">
        <v>1503</v>
      </c>
      <c r="M62" s="56">
        <f>Table21[[#This Row],[BIDEN VOTES]]/C156</f>
        <v>8.8871807000946074E-2</v>
      </c>
      <c r="N62" s="18">
        <v>0.214</v>
      </c>
      <c r="O62" s="21">
        <f>1-(Table21[[#This Row],[NbP]]+Table21[[#This Row],[NbP2]])</f>
        <v>0.59182828760643336</v>
      </c>
    </row>
    <row r="63" spans="1:15" ht="20">
      <c r="A63" s="13" t="s">
        <v>69</v>
      </c>
      <c r="B63" s="14" t="s">
        <v>138</v>
      </c>
      <c r="C63" s="13">
        <v>2017</v>
      </c>
      <c r="D63" s="13" t="s">
        <v>295</v>
      </c>
      <c r="E63" s="13">
        <v>48.816569999999999</v>
      </c>
      <c r="F63" s="29">
        <f t="shared" si="1"/>
        <v>0.72171823994044304</v>
      </c>
      <c r="H63" s="16" t="s">
        <v>237</v>
      </c>
      <c r="I63" s="17">
        <v>5345</v>
      </c>
      <c r="J63" s="56">
        <f>Table21[[#This Row],[TRUMP VOTES]]/C157</f>
        <v>0.27997485726258448</v>
      </c>
      <c r="K63" s="18">
        <v>0.61299999999999999</v>
      </c>
      <c r="L63" s="17">
        <v>3203</v>
      </c>
      <c r="M63" s="56">
        <f>Table21[[#This Row],[BIDEN VOTES]]/C157</f>
        <v>0.16777539154575455</v>
      </c>
      <c r="N63" s="18">
        <v>0.36699999999999999</v>
      </c>
      <c r="O63" s="21">
        <f>1-(Table21[[#This Row],[NbP]]+Table21[[#This Row],[NbP2]])</f>
        <v>0.55224975119166098</v>
      </c>
    </row>
    <row r="64" spans="1:15" ht="20">
      <c r="A64" s="11" t="s">
        <v>69</v>
      </c>
      <c r="B64" s="12" t="s">
        <v>913</v>
      </c>
      <c r="C64" s="11">
        <v>2017</v>
      </c>
      <c r="D64" s="11" t="s">
        <v>295</v>
      </c>
      <c r="E64" s="11">
        <v>49.327350000000003</v>
      </c>
      <c r="F64" s="29">
        <f t="shared" si="1"/>
        <v>0.72976427869431693</v>
      </c>
      <c r="H64" s="16" t="s">
        <v>945</v>
      </c>
      <c r="I64" s="17">
        <v>4692</v>
      </c>
      <c r="J64" s="56">
        <f>Table21[[#This Row],[TRUMP VOTES]]/C158</f>
        <v>0.37948883856357168</v>
      </c>
      <c r="K64" s="18">
        <v>0.754</v>
      </c>
      <c r="L64" s="17">
        <v>1415</v>
      </c>
      <c r="M64" s="56">
        <f>Table21[[#This Row],[BIDEN VOTES]]/C158</f>
        <v>0.11444516337754772</v>
      </c>
      <c r="N64" s="18">
        <v>0.22700000000000001</v>
      </c>
      <c r="O64" s="21">
        <f>1-(Table21[[#This Row],[NbP]]+Table21[[#This Row],[NbP2]])</f>
        <v>0.50606599805888064</v>
      </c>
    </row>
    <row r="65" spans="1:15" ht="20">
      <c r="A65" s="13" t="s">
        <v>69</v>
      </c>
      <c r="B65" s="14" t="s">
        <v>1435</v>
      </c>
      <c r="C65" s="13">
        <v>2017</v>
      </c>
      <c r="D65" s="13" t="s">
        <v>295</v>
      </c>
      <c r="E65" s="13">
        <v>12.32756</v>
      </c>
      <c r="F65" s="29">
        <f t="shared" si="1"/>
        <v>0.14692676699615026</v>
      </c>
      <c r="H65" s="16" t="s">
        <v>1472</v>
      </c>
      <c r="I65" s="17">
        <v>45008</v>
      </c>
      <c r="J65" s="56">
        <f>Table21[[#This Row],[TRUMP VOTES]]/C159</f>
        <v>0.26556212459140205</v>
      </c>
      <c r="K65" s="18">
        <v>0.52100000000000002</v>
      </c>
      <c r="L65" s="17">
        <v>39746</v>
      </c>
      <c r="M65" s="56">
        <f>Table21[[#This Row],[BIDEN VOTES]]/C159</f>
        <v>0.23451457971938022</v>
      </c>
      <c r="N65" s="18">
        <v>0.46</v>
      </c>
      <c r="O65" s="21">
        <f>1-(Table21[[#This Row],[NbP]]+Table21[[#This Row],[NbP2]])</f>
        <v>0.49992329568921767</v>
      </c>
    </row>
    <row r="66" spans="1:15" ht="20">
      <c r="A66" s="11" t="s">
        <v>69</v>
      </c>
      <c r="B66" s="12" t="s">
        <v>1436</v>
      </c>
      <c r="C66" s="11">
        <v>2017</v>
      </c>
      <c r="D66" s="11" t="s">
        <v>295</v>
      </c>
      <c r="E66" s="11">
        <v>34.361229999999999</v>
      </c>
      <c r="F66" s="29">
        <f t="shared" ref="F66:F93" si="2">(E66-MIN(E:E))/(MAX(E:E)-MIN(E:E))</f>
        <v>0.49401115305289656</v>
      </c>
      <c r="H66" s="16" t="s">
        <v>1473</v>
      </c>
      <c r="I66" s="17">
        <v>9206</v>
      </c>
      <c r="J66" s="56">
        <f>Table21[[#This Row],[TRUMP VOTES]]/C160</f>
        <v>0.36130298273155415</v>
      </c>
      <c r="K66" s="18">
        <v>0.69599999999999995</v>
      </c>
      <c r="L66" s="17">
        <v>3811</v>
      </c>
      <c r="M66" s="56">
        <f>Table21[[#This Row],[BIDEN VOTES]]/C160</f>
        <v>0.14956828885400314</v>
      </c>
      <c r="N66" s="18">
        <v>0.28799999999999998</v>
      </c>
      <c r="O66" s="21">
        <f>1-(Table21[[#This Row],[NbP]]+Table21[[#This Row],[NbP2]])</f>
        <v>0.48912872841444277</v>
      </c>
    </row>
    <row r="67" spans="1:15" ht="20">
      <c r="A67" s="13" t="s">
        <v>69</v>
      </c>
      <c r="B67" s="14" t="s">
        <v>1277</v>
      </c>
      <c r="C67" s="13">
        <v>2017</v>
      </c>
      <c r="D67" s="13" t="s">
        <v>295</v>
      </c>
      <c r="E67" s="13">
        <v>48.508800000000001</v>
      </c>
      <c r="F67" s="29">
        <f t="shared" si="2"/>
        <v>0.71687010699224685</v>
      </c>
      <c r="H67" s="16" t="s">
        <v>1370</v>
      </c>
      <c r="I67" s="17">
        <v>4246</v>
      </c>
      <c r="J67" s="56">
        <f>Table21[[#This Row],[TRUMP VOTES]]/C161</f>
        <v>0.34016984457618971</v>
      </c>
      <c r="K67" s="18">
        <v>0.73099999999999998</v>
      </c>
      <c r="L67" s="17">
        <v>1463</v>
      </c>
      <c r="M67" s="56">
        <f>Table21[[#This Row],[BIDEN VOTES]]/C161</f>
        <v>0.11720878064412754</v>
      </c>
      <c r="N67" s="18">
        <v>0.252</v>
      </c>
      <c r="O67" s="21">
        <f>1-(Table21[[#This Row],[NbP]]+Table21[[#This Row],[NbP2]])</f>
        <v>0.54262137477968275</v>
      </c>
    </row>
    <row r="68" spans="1:15" ht="20">
      <c r="A68" s="11" t="s">
        <v>69</v>
      </c>
      <c r="B68" s="12" t="s">
        <v>141</v>
      </c>
      <c r="C68" s="11">
        <v>2017</v>
      </c>
      <c r="D68" s="11" t="s">
        <v>295</v>
      </c>
      <c r="E68" s="11">
        <v>39.6173</v>
      </c>
      <c r="F68" s="29">
        <f t="shared" si="2"/>
        <v>0.57680715703322682</v>
      </c>
      <c r="H68" s="16" t="s">
        <v>240</v>
      </c>
      <c r="I68" s="17">
        <v>12278</v>
      </c>
      <c r="J68" s="56">
        <f>Table21[[#This Row],[TRUMP VOTES]]/C162</f>
        <v>0.32812207701969587</v>
      </c>
      <c r="K68" s="18">
        <v>0.74</v>
      </c>
      <c r="L68" s="17">
        <v>3946</v>
      </c>
      <c r="M68" s="56">
        <f>Table21[[#This Row],[BIDEN VOTES]]/C162</f>
        <v>0.10545444827494053</v>
      </c>
      <c r="N68" s="18">
        <v>0.23799999999999999</v>
      </c>
      <c r="O68" s="21">
        <f>1-(Table21[[#This Row],[NbP]]+Table21[[#This Row],[NbP2]])</f>
        <v>0.56642347470536358</v>
      </c>
    </row>
    <row r="69" spans="1:15" ht="20">
      <c r="A69" s="13" t="s">
        <v>69</v>
      </c>
      <c r="B69" s="14" t="s">
        <v>880</v>
      </c>
      <c r="C69" s="13">
        <v>2017</v>
      </c>
      <c r="D69" s="13" t="s">
        <v>295</v>
      </c>
      <c r="E69" s="13">
        <v>45.502090000000003</v>
      </c>
      <c r="F69" s="29">
        <f t="shared" si="2"/>
        <v>0.6695070442614045</v>
      </c>
      <c r="H69" s="16" t="s">
        <v>849</v>
      </c>
      <c r="I69" s="17">
        <v>8312</v>
      </c>
      <c r="J69" s="56">
        <f>Table21[[#This Row],[TRUMP VOTES]]/C163</f>
        <v>0.33659998380173323</v>
      </c>
      <c r="K69" s="18">
        <v>0.751</v>
      </c>
      <c r="L69" s="17">
        <v>2513</v>
      </c>
      <c r="M69" s="56">
        <f>Table21[[#This Row],[BIDEN VOTES]]/C163</f>
        <v>0.10176561107961449</v>
      </c>
      <c r="N69" s="18">
        <v>0.22700000000000001</v>
      </c>
      <c r="O69" s="21">
        <f>1-(Table21[[#This Row],[NbP]]+Table21[[#This Row],[NbP2]])</f>
        <v>0.56163440511865226</v>
      </c>
    </row>
    <row r="70" spans="1:15" ht="20">
      <c r="A70" s="11" t="s">
        <v>69</v>
      </c>
      <c r="B70" s="12" t="s">
        <v>1437</v>
      </c>
      <c r="C70" s="11">
        <v>2017</v>
      </c>
      <c r="D70" s="11" t="s">
        <v>295</v>
      </c>
      <c r="E70" s="11">
        <v>31.799530000000001</v>
      </c>
      <c r="F70" s="29">
        <f t="shared" si="2"/>
        <v>0.45365809013775044</v>
      </c>
      <c r="H70" s="16" t="s">
        <v>1474</v>
      </c>
      <c r="I70" s="17">
        <v>11261</v>
      </c>
      <c r="J70" s="56">
        <f>Table21[[#This Row],[TRUMP VOTES]]/C164</f>
        <v>0.39571985803141579</v>
      </c>
      <c r="K70" s="18">
        <v>0.78900000000000003</v>
      </c>
      <c r="L70" s="17">
        <v>2774</v>
      </c>
      <c r="M70" s="56">
        <f>Table21[[#This Row],[BIDEN VOTES]]/C164</f>
        <v>9.7480409038197977E-2</v>
      </c>
      <c r="N70" s="18">
        <v>0.19400000000000001</v>
      </c>
      <c r="O70" s="21">
        <f>1-(Table21[[#This Row],[NbP]]+Table21[[#This Row],[NbP2]])</f>
        <v>0.50679973293038616</v>
      </c>
    </row>
    <row r="71" spans="1:15" ht="20">
      <c r="A71" s="13" t="s">
        <v>69</v>
      </c>
      <c r="B71" s="14" t="s">
        <v>1438</v>
      </c>
      <c r="C71" s="13">
        <v>2017</v>
      </c>
      <c r="D71" s="13" t="s">
        <v>295</v>
      </c>
      <c r="E71" s="13">
        <v>25.403549999999999</v>
      </c>
      <c r="F71" s="29">
        <f t="shared" si="2"/>
        <v>0.3529057056493185</v>
      </c>
      <c r="H71" s="16" t="s">
        <v>1475</v>
      </c>
      <c r="I71" s="17">
        <v>6035</v>
      </c>
      <c r="J71" s="56">
        <f>Table21[[#This Row],[TRUMP VOTES]]/C165</f>
        <v>0.36285473785473787</v>
      </c>
      <c r="K71" s="18">
        <v>0.76100000000000001</v>
      </c>
      <c r="L71" s="17">
        <v>1754</v>
      </c>
      <c r="M71" s="56">
        <f>Table21[[#This Row],[BIDEN VOTES]]/C165</f>
        <v>0.10545935545935546</v>
      </c>
      <c r="N71" s="18">
        <v>0.221</v>
      </c>
      <c r="O71" s="21">
        <f>1-(Table21[[#This Row],[NbP]]+Table21[[#This Row],[NbP2]])</f>
        <v>0.53168590668590665</v>
      </c>
    </row>
    <row r="72" spans="1:15" ht="20">
      <c r="A72" s="11" t="s">
        <v>69</v>
      </c>
      <c r="B72" s="12" t="s">
        <v>1439</v>
      </c>
      <c r="C72" s="11">
        <v>2017</v>
      </c>
      <c r="D72" s="11" t="s">
        <v>295</v>
      </c>
      <c r="E72" s="11">
        <v>25.197489999999998</v>
      </c>
      <c r="F72" s="29">
        <f t="shared" si="2"/>
        <v>0.34965975485715117</v>
      </c>
      <c r="H72" s="16" t="s">
        <v>1476</v>
      </c>
      <c r="I72" s="17">
        <v>53164</v>
      </c>
      <c r="J72" s="56">
        <f>Table21[[#This Row],[TRUMP VOTES]]/C166</f>
        <v>2.2351902459533317</v>
      </c>
      <c r="K72" s="18">
        <v>0.46200000000000002</v>
      </c>
      <c r="L72" s="17">
        <v>59896</v>
      </c>
      <c r="M72" s="56">
        <f>Table21[[#This Row],[BIDEN VOTES]]/C166</f>
        <v>2.5182257725457222</v>
      </c>
      <c r="N72" s="18">
        <v>0.52100000000000002</v>
      </c>
      <c r="O72" s="21">
        <f>1-(Table21[[#This Row],[NbP]]+Table21[[#This Row],[NbP2]])</f>
        <v>-3.7534160184990544</v>
      </c>
    </row>
    <row r="73" spans="1:15" ht="20">
      <c r="A73" s="13" t="s">
        <v>69</v>
      </c>
      <c r="B73" s="14" t="s">
        <v>146</v>
      </c>
      <c r="C73" s="13">
        <v>2017</v>
      </c>
      <c r="D73" s="13" t="s">
        <v>295</v>
      </c>
      <c r="E73" s="13">
        <v>66.482500000000002</v>
      </c>
      <c r="F73" s="29">
        <f t="shared" si="2"/>
        <v>1</v>
      </c>
      <c r="H73" s="16" t="s">
        <v>245</v>
      </c>
      <c r="I73" s="17">
        <v>7328</v>
      </c>
      <c r="J73" s="56">
        <f>Table21[[#This Row],[TRUMP VOTES]]/C167</f>
        <v>0.16445611436522364</v>
      </c>
      <c r="K73" s="18">
        <v>0.72099999999999997</v>
      </c>
      <c r="L73" s="17">
        <v>2698</v>
      </c>
      <c r="M73" s="56">
        <f>Table21[[#This Row],[BIDEN VOTES]]/C167</f>
        <v>6.0548935119728899E-2</v>
      </c>
      <c r="N73" s="18">
        <v>0.26600000000000001</v>
      </c>
      <c r="O73" s="21">
        <f>1-(Table21[[#This Row],[NbP]]+Table21[[#This Row],[NbP2]])</f>
        <v>0.77499495051504752</v>
      </c>
    </row>
    <row r="74" spans="1:15" ht="20">
      <c r="A74" s="11" t="s">
        <v>69</v>
      </c>
      <c r="B74" s="12" t="s">
        <v>149</v>
      </c>
      <c r="C74" s="11">
        <v>2017</v>
      </c>
      <c r="D74" s="11" t="s">
        <v>295</v>
      </c>
      <c r="E74" s="11">
        <v>18.047339999999998</v>
      </c>
      <c r="F74" s="29">
        <f t="shared" si="2"/>
        <v>0.23702734169295092</v>
      </c>
      <c r="H74" s="16" t="s">
        <v>264</v>
      </c>
      <c r="I74" s="17">
        <v>14568</v>
      </c>
      <c r="J74" s="56">
        <f>Table21[[#This Row],[TRUMP VOTES]]/C168</f>
        <v>0.7153800824985268</v>
      </c>
      <c r="K74" s="18">
        <v>0.72899999999999998</v>
      </c>
      <c r="L74" s="17">
        <v>5023</v>
      </c>
      <c r="M74" s="56">
        <f>Table21[[#This Row],[BIDEN VOTES]]/C168</f>
        <v>0.24666077391475152</v>
      </c>
      <c r="N74" s="18">
        <v>0.251</v>
      </c>
      <c r="O74" s="21">
        <f>1-(Table21[[#This Row],[NbP]]+Table21[[#This Row],[NbP2]])</f>
        <v>3.79591435867217E-2</v>
      </c>
    </row>
    <row r="75" spans="1:15" ht="20">
      <c r="A75" s="13" t="s">
        <v>69</v>
      </c>
      <c r="B75" s="14" t="s">
        <v>1440</v>
      </c>
      <c r="C75" s="13">
        <v>2017</v>
      </c>
      <c r="D75" s="13" t="s">
        <v>295</v>
      </c>
      <c r="E75" s="13">
        <v>59.22804</v>
      </c>
      <c r="F75" s="29">
        <f t="shared" si="2"/>
        <v>0.88572444829784491</v>
      </c>
      <c r="H75" s="16" t="s">
        <v>1477</v>
      </c>
      <c r="I75" s="17">
        <v>7357</v>
      </c>
      <c r="J75" s="56">
        <f>Table21[[#This Row],[TRUMP VOTES]]/C169</f>
        <v>2.7159527615447373E-2</v>
      </c>
      <c r="K75" s="18">
        <v>0.68300000000000005</v>
      </c>
      <c r="L75" s="17">
        <v>3213</v>
      </c>
      <c r="M75" s="56">
        <f>Table21[[#This Row],[BIDEN VOTES]]/C169</f>
        <v>1.1861297027107844E-2</v>
      </c>
      <c r="N75" s="18">
        <v>0.29799999999999999</v>
      </c>
      <c r="O75" s="21">
        <f>1-(Table21[[#This Row],[NbP]]+Table21[[#This Row],[NbP2]])</f>
        <v>0.96097917535744481</v>
      </c>
    </row>
    <row r="76" spans="1:15" ht="20">
      <c r="A76" s="11" t="s">
        <v>69</v>
      </c>
      <c r="B76" s="12" t="s">
        <v>1441</v>
      </c>
      <c r="C76" s="11">
        <v>2017</v>
      </c>
      <c r="D76" s="11" t="s">
        <v>295</v>
      </c>
      <c r="E76" s="11">
        <v>30.10547</v>
      </c>
      <c r="F76" s="29">
        <f t="shared" si="2"/>
        <v>0.42697248692034312</v>
      </c>
      <c r="H76" s="16" t="s">
        <v>1478</v>
      </c>
      <c r="I76" s="17">
        <v>7466</v>
      </c>
      <c r="J76" s="56">
        <f>Table21[[#This Row],[TRUMP VOTES]]/C170</f>
        <v>0.32466515915811445</v>
      </c>
      <c r="K76" s="18">
        <v>0.72599999999999998</v>
      </c>
      <c r="L76" s="17">
        <v>2650</v>
      </c>
      <c r="M76" s="56">
        <f>Table21[[#This Row],[BIDEN VOTES]]/C170</f>
        <v>0.11523743259697339</v>
      </c>
      <c r="N76" s="18">
        <v>0.25800000000000001</v>
      </c>
      <c r="O76" s="21">
        <f>1-(Table21[[#This Row],[NbP]]+Table21[[#This Row],[NbP2]])</f>
        <v>0.56009740824491216</v>
      </c>
    </row>
    <row r="77" spans="1:15" ht="20">
      <c r="A77" s="13" t="s">
        <v>69</v>
      </c>
      <c r="B77" s="14" t="s">
        <v>1442</v>
      </c>
      <c r="C77" s="13">
        <v>2017</v>
      </c>
      <c r="D77" s="13" t="s">
        <v>295</v>
      </c>
      <c r="E77" s="13">
        <v>22.80405</v>
      </c>
      <c r="F77" s="29">
        <f t="shared" si="2"/>
        <v>0.3119571999507893</v>
      </c>
      <c r="H77" s="16" t="s">
        <v>1479</v>
      </c>
      <c r="I77" s="17">
        <v>11327</v>
      </c>
      <c r="J77" s="56">
        <f>Table21[[#This Row],[TRUMP VOTES]]/C171</f>
        <v>0.32745511838339453</v>
      </c>
      <c r="K77" s="18">
        <v>0.70099999999999996</v>
      </c>
      <c r="L77" s="17">
        <v>4513</v>
      </c>
      <c r="M77" s="56">
        <f>Table21[[#This Row],[BIDEN VOTES]]/C171</f>
        <v>0.13046746263478939</v>
      </c>
      <c r="N77" s="18">
        <v>0.27900000000000003</v>
      </c>
      <c r="O77" s="21">
        <f>1-(Table21[[#This Row],[NbP]]+Table21[[#This Row],[NbP2]])</f>
        <v>0.54207741898181605</v>
      </c>
    </row>
    <row r="78" spans="1:15" ht="20">
      <c r="A78" s="11" t="s">
        <v>69</v>
      </c>
      <c r="B78" s="12" t="s">
        <v>152</v>
      </c>
      <c r="C78" s="11">
        <v>2017</v>
      </c>
      <c r="D78" s="11" t="s">
        <v>295</v>
      </c>
      <c r="E78" s="11">
        <v>36.61833</v>
      </c>
      <c r="F78" s="29">
        <f t="shared" si="2"/>
        <v>0.52956601830088668</v>
      </c>
      <c r="H78" s="16" t="s">
        <v>250</v>
      </c>
      <c r="I78" s="17">
        <v>6691</v>
      </c>
      <c r="J78" s="56">
        <f>Table21[[#This Row],[TRUMP VOTES]]/C172</f>
        <v>0.32406645033176734</v>
      </c>
      <c r="K78" s="18">
        <v>0.74399999999999999</v>
      </c>
      <c r="L78" s="17">
        <v>2153</v>
      </c>
      <c r="M78" s="56">
        <f>Table21[[#This Row],[BIDEN VOTES]]/C172</f>
        <v>0.10427665036082724</v>
      </c>
      <c r="N78" s="18">
        <v>0.23899999999999999</v>
      </c>
      <c r="O78" s="21">
        <f>1-(Table21[[#This Row],[NbP]]+Table21[[#This Row],[NbP2]])</f>
        <v>0.57165689930740538</v>
      </c>
    </row>
    <row r="79" spans="1:15" ht="20">
      <c r="A79" s="13" t="s">
        <v>69</v>
      </c>
      <c r="B79" s="14" t="s">
        <v>1443</v>
      </c>
      <c r="C79" s="13">
        <v>2017</v>
      </c>
      <c r="D79" s="13" t="s">
        <v>295</v>
      </c>
      <c r="E79" s="13">
        <v>34.074069999999999</v>
      </c>
      <c r="F79" s="29">
        <f t="shared" si="2"/>
        <v>0.48948767819373534</v>
      </c>
      <c r="H79" s="16" t="s">
        <v>1480</v>
      </c>
      <c r="I79" s="17">
        <v>3133</v>
      </c>
      <c r="J79" s="56">
        <f>Table21[[#This Row],[TRUMP VOTES]]/C173</f>
        <v>0.2920667474596812</v>
      </c>
      <c r="K79" s="18">
        <v>0.755</v>
      </c>
      <c r="L79" s="19">
        <v>964</v>
      </c>
      <c r="M79" s="56">
        <f>Table21[[#This Row],[BIDEN VOTES]]/C173</f>
        <v>8.9866691526055753E-2</v>
      </c>
      <c r="N79" s="18">
        <v>0.23200000000000001</v>
      </c>
      <c r="O79" s="21">
        <f>1-(Table21[[#This Row],[NbP]]+Table21[[#This Row],[NbP2]])</f>
        <v>0.61806656101426305</v>
      </c>
    </row>
    <row r="80" spans="1:15" ht="20">
      <c r="A80" s="11" t="s">
        <v>69</v>
      </c>
      <c r="B80" s="12" t="s">
        <v>1444</v>
      </c>
      <c r="C80" s="11">
        <v>2017</v>
      </c>
      <c r="D80" s="11" t="s">
        <v>295</v>
      </c>
      <c r="E80" s="11">
        <v>14.44224</v>
      </c>
      <c r="F80" s="29">
        <f t="shared" si="2"/>
        <v>0.18023816766188047</v>
      </c>
      <c r="H80" s="16" t="s">
        <v>1481</v>
      </c>
      <c r="I80" s="17">
        <v>34581</v>
      </c>
      <c r="J80" s="56">
        <f>Table21[[#This Row],[TRUMP VOTES]]/C174</f>
        <v>0.17889623490703666</v>
      </c>
      <c r="K80" s="18">
        <v>0.48399999999999999</v>
      </c>
      <c r="L80" s="17">
        <v>35017</v>
      </c>
      <c r="M80" s="56">
        <f>Table21[[#This Row],[BIDEN VOTES]]/C174</f>
        <v>0.18115177287353468</v>
      </c>
      <c r="N80" s="18">
        <v>0.49</v>
      </c>
      <c r="O80" s="21">
        <f>1-(Table21[[#This Row],[NbP]]+Table21[[#This Row],[NbP2]])</f>
        <v>0.63995199221942867</v>
      </c>
    </row>
    <row r="81" spans="1:15" ht="20">
      <c r="A81" s="13" t="s">
        <v>69</v>
      </c>
      <c r="B81" s="14" t="s">
        <v>154</v>
      </c>
      <c r="C81" s="13">
        <v>2017</v>
      </c>
      <c r="D81" s="13" t="s">
        <v>295</v>
      </c>
      <c r="E81" s="13">
        <v>44.600189999999998</v>
      </c>
      <c r="F81" s="29">
        <f t="shared" si="2"/>
        <v>0.65529990546951999</v>
      </c>
      <c r="H81" s="16" t="s">
        <v>252</v>
      </c>
      <c r="I81" s="17">
        <v>6110</v>
      </c>
      <c r="J81" s="56">
        <f>Table21[[#This Row],[TRUMP VOTES]]/C175</f>
        <v>0.40319387620430247</v>
      </c>
      <c r="K81" s="18">
        <v>0.753</v>
      </c>
      <c r="L81" s="17">
        <v>1834</v>
      </c>
      <c r="M81" s="56">
        <f>Table21[[#This Row],[BIDEN VOTES]]/C175</f>
        <v>0.12102415203906559</v>
      </c>
      <c r="N81" s="18">
        <v>0.22600000000000001</v>
      </c>
      <c r="O81" s="21">
        <f>1-(Table21[[#This Row],[NbP]]+Table21[[#This Row],[NbP2]])</f>
        <v>0.47578197175663195</v>
      </c>
    </row>
    <row r="82" spans="1:15" ht="20">
      <c r="A82" s="11" t="s">
        <v>69</v>
      </c>
      <c r="B82" s="12" t="s">
        <v>157</v>
      </c>
      <c r="C82" s="11">
        <v>2017</v>
      </c>
      <c r="D82" s="11" t="s">
        <v>295</v>
      </c>
      <c r="E82" s="11">
        <v>36.041939999999997</v>
      </c>
      <c r="F82" s="29">
        <f t="shared" si="2"/>
        <v>0.52048646100156937</v>
      </c>
      <c r="H82" s="16" t="s">
        <v>255</v>
      </c>
      <c r="I82" s="17">
        <v>2688</v>
      </c>
      <c r="J82" s="56">
        <f>Table21[[#This Row],[TRUMP VOTES]]/C176</f>
        <v>0.37647058823529411</v>
      </c>
      <c r="K82" s="18">
        <v>0.77200000000000002</v>
      </c>
      <c r="L82" s="19">
        <v>736</v>
      </c>
      <c r="M82" s="56">
        <f>Table21[[#This Row],[BIDEN VOTES]]/C176</f>
        <v>0.10308123249299719</v>
      </c>
      <c r="N82" s="18">
        <v>0.21099999999999999</v>
      </c>
      <c r="O82" s="21">
        <f>1-(Table21[[#This Row],[NbP]]+Table21[[#This Row],[NbP2]])</f>
        <v>0.52044817927170872</v>
      </c>
    </row>
    <row r="83" spans="1:15" ht="20">
      <c r="A83" s="13" t="s">
        <v>69</v>
      </c>
      <c r="B83" s="14" t="s">
        <v>1445</v>
      </c>
      <c r="C83" s="13">
        <v>2017</v>
      </c>
      <c r="D83" s="13" t="s">
        <v>295</v>
      </c>
      <c r="E83" s="13">
        <v>29.51371</v>
      </c>
      <c r="F83" s="29">
        <f t="shared" si="2"/>
        <v>0.41765081439402585</v>
      </c>
      <c r="H83" s="16" t="s">
        <v>1482</v>
      </c>
      <c r="I83" s="17">
        <v>41844</v>
      </c>
      <c r="J83" s="56">
        <f>Table21[[#This Row],[TRUMP VOTES]]/C177</f>
        <v>0.23048449996695089</v>
      </c>
      <c r="K83" s="18">
        <v>0.53900000000000003</v>
      </c>
      <c r="L83" s="17">
        <v>34415</v>
      </c>
      <c r="M83" s="56">
        <f>Table21[[#This Row],[BIDEN VOTES]]/C177</f>
        <v>0.18956419238989139</v>
      </c>
      <c r="N83" s="18">
        <v>0.44400000000000001</v>
      </c>
      <c r="O83" s="21">
        <f>1-(Table21[[#This Row],[NbP]]+Table21[[#This Row],[NbP2]])</f>
        <v>0.57995130764315772</v>
      </c>
    </row>
    <row r="84" spans="1:15" ht="20">
      <c r="A84" s="11" t="s">
        <v>69</v>
      </c>
      <c r="B84" s="12" t="s">
        <v>1446</v>
      </c>
      <c r="C84" s="11">
        <v>2017</v>
      </c>
      <c r="D84" s="11" t="s">
        <v>295</v>
      </c>
      <c r="E84" s="11">
        <v>48.681539999999998</v>
      </c>
      <c r="F84" s="29">
        <f t="shared" si="2"/>
        <v>0.7195911859975801</v>
      </c>
      <c r="H84" s="16" t="s">
        <v>1483</v>
      </c>
      <c r="I84" s="17">
        <v>5184</v>
      </c>
      <c r="J84" s="56">
        <f>Table21[[#This Row],[TRUMP VOTES]]/C178</f>
        <v>0.33477558927994833</v>
      </c>
      <c r="K84" s="18">
        <v>0.69299999999999995</v>
      </c>
      <c r="L84" s="17">
        <v>2145</v>
      </c>
      <c r="M84" s="56">
        <f>Table21[[#This Row],[BIDEN VOTES]]/C178</f>
        <v>0.13852114949951566</v>
      </c>
      <c r="N84" s="18">
        <v>0.28699999999999998</v>
      </c>
      <c r="O84" s="21">
        <f>1-(Table21[[#This Row],[NbP]]+Table21[[#This Row],[NbP2]])</f>
        <v>0.52670326122053601</v>
      </c>
    </row>
    <row r="85" spans="1:15" ht="20">
      <c r="A85" s="13" t="s">
        <v>69</v>
      </c>
      <c r="B85" s="14" t="s">
        <v>1447</v>
      </c>
      <c r="C85" s="13">
        <v>2017</v>
      </c>
      <c r="D85" s="13" t="s">
        <v>295</v>
      </c>
      <c r="E85" s="13">
        <v>43.031210000000002</v>
      </c>
      <c r="F85" s="29">
        <f t="shared" si="2"/>
        <v>0.63058461927183651</v>
      </c>
      <c r="H85" s="16" t="s">
        <v>1484</v>
      </c>
      <c r="I85" s="17">
        <v>24545</v>
      </c>
      <c r="J85" s="56">
        <f>Table21[[#This Row],[TRUMP VOTES]]/C179</f>
        <v>0.22874050603420157</v>
      </c>
      <c r="K85" s="18">
        <v>0.56299999999999994</v>
      </c>
      <c r="L85" s="17">
        <v>18123</v>
      </c>
      <c r="M85" s="56">
        <f>Table21[[#This Row],[BIDEN VOTES]]/C179</f>
        <v>0.16889240948697637</v>
      </c>
      <c r="N85" s="18">
        <v>0.41599999999999998</v>
      </c>
      <c r="O85" s="21">
        <f>1-(Table21[[#This Row],[NbP]]+Table21[[#This Row],[NbP2]])</f>
        <v>0.60236708447882203</v>
      </c>
    </row>
    <row r="86" spans="1:15" ht="20">
      <c r="A86" s="11" t="s">
        <v>69</v>
      </c>
      <c r="B86" s="12" t="s">
        <v>1448</v>
      </c>
      <c r="C86" s="11">
        <v>2017</v>
      </c>
      <c r="D86" s="11" t="s">
        <v>295</v>
      </c>
      <c r="E86" s="11">
        <v>30.626239999999999</v>
      </c>
      <c r="F86" s="29">
        <f t="shared" si="2"/>
        <v>0.43517589269553947</v>
      </c>
      <c r="H86" s="16" t="s">
        <v>1412</v>
      </c>
      <c r="I86" s="17">
        <v>10762</v>
      </c>
      <c r="J86" s="56">
        <f>Table21[[#This Row],[TRUMP VOTES]]/C180</f>
        <v>0.34495801012885441</v>
      </c>
      <c r="K86" s="18">
        <v>0.73799999999999999</v>
      </c>
      <c r="L86" s="17">
        <v>3494</v>
      </c>
      <c r="M86" s="56">
        <f>Table21[[#This Row],[BIDEN VOTES]]/C180</f>
        <v>0.11199435861273159</v>
      </c>
      <c r="N86" s="18">
        <v>0.24</v>
      </c>
      <c r="O86" s="21">
        <f>1-(Table21[[#This Row],[NbP]]+Table21[[#This Row],[NbP2]])</f>
        <v>0.54304763125841404</v>
      </c>
    </row>
    <row r="87" spans="1:15" ht="20">
      <c r="A87" s="13" t="s">
        <v>69</v>
      </c>
      <c r="B87" s="14" t="s">
        <v>159</v>
      </c>
      <c r="C87" s="13">
        <v>2017</v>
      </c>
      <c r="D87" s="13" t="s">
        <v>295</v>
      </c>
      <c r="E87" s="13">
        <v>24.53988</v>
      </c>
      <c r="F87" s="29">
        <f t="shared" si="2"/>
        <v>0.33930078319628953</v>
      </c>
      <c r="H87" s="16" t="s">
        <v>257</v>
      </c>
      <c r="I87" s="17">
        <v>3401</v>
      </c>
      <c r="J87" s="56">
        <f>Table21[[#This Row],[TRUMP VOTES]]/C181</f>
        <v>0.41379729894147704</v>
      </c>
      <c r="K87" s="18">
        <v>0.76100000000000001</v>
      </c>
      <c r="L87" s="19">
        <v>974</v>
      </c>
      <c r="M87" s="56">
        <f>Table21[[#This Row],[BIDEN VOTES]]/C181</f>
        <v>0.11850590096118749</v>
      </c>
      <c r="N87" s="18">
        <v>0.218</v>
      </c>
      <c r="O87" s="21">
        <f>1-(Table21[[#This Row],[NbP]]+Table21[[#This Row],[NbP2]])</f>
        <v>0.4676968000973355</v>
      </c>
    </row>
    <row r="88" spans="1:15" ht="20">
      <c r="A88" s="11" t="s">
        <v>69</v>
      </c>
      <c r="B88" s="12" t="s">
        <v>1449</v>
      </c>
      <c r="C88" s="11">
        <v>2017</v>
      </c>
      <c r="D88" s="11" t="s">
        <v>295</v>
      </c>
      <c r="E88" s="11">
        <v>12.707979999999999</v>
      </c>
      <c r="F88" s="29">
        <f t="shared" si="2"/>
        <v>0.15291931577008155</v>
      </c>
      <c r="H88" s="16" t="s">
        <v>1485</v>
      </c>
      <c r="I88" s="17">
        <v>21326</v>
      </c>
      <c r="J88" s="56">
        <f>Table21[[#This Row],[TRUMP VOTES]]/C182</f>
        <v>0.340627395859954</v>
      </c>
      <c r="K88" s="18">
        <v>0.63100000000000001</v>
      </c>
      <c r="L88" s="17">
        <v>11923</v>
      </c>
      <c r="M88" s="56">
        <f>Table21[[#This Row],[BIDEN VOTES]]/C182</f>
        <v>0.1904389215435727</v>
      </c>
      <c r="N88" s="18">
        <v>0.35299999999999998</v>
      </c>
      <c r="O88" s="21">
        <f>1-(Table21[[#This Row],[NbP]]+Table21[[#This Row],[NbP2]])</f>
        <v>0.46893368259647328</v>
      </c>
    </row>
    <row r="89" spans="1:15" ht="20">
      <c r="A89" s="13" t="s">
        <v>69</v>
      </c>
      <c r="B89" s="14" t="s">
        <v>38</v>
      </c>
      <c r="C89" s="13">
        <v>2017</v>
      </c>
      <c r="D89" s="13" t="s">
        <v>295</v>
      </c>
      <c r="E89" s="13">
        <v>16.588419999999999</v>
      </c>
      <c r="F89" s="29">
        <f t="shared" si="2"/>
        <v>0.21404577064709662</v>
      </c>
      <c r="H89" s="16" t="s">
        <v>258</v>
      </c>
      <c r="I89" s="17">
        <v>9114</v>
      </c>
      <c r="J89" s="56">
        <f>Table21[[#This Row],[TRUMP VOTES]]/C183</f>
        <v>0.32617564955980244</v>
      </c>
      <c r="K89" s="18">
        <v>0.751</v>
      </c>
      <c r="L89" s="17">
        <v>2784</v>
      </c>
      <c r="M89" s="56">
        <f>Table21[[#This Row],[BIDEN VOTES]]/C183</f>
        <v>9.9634958127549925E-2</v>
      </c>
      <c r="N89" s="18">
        <v>0.22900000000000001</v>
      </c>
      <c r="O89" s="21">
        <f>1-(Table21[[#This Row],[NbP]]+Table21[[#This Row],[NbP2]])</f>
        <v>0.57418939231264765</v>
      </c>
    </row>
    <row r="90" spans="1:15" ht="20">
      <c r="A90" s="11" t="s">
        <v>69</v>
      </c>
      <c r="B90" s="12" t="s">
        <v>160</v>
      </c>
      <c r="C90" s="11">
        <v>2017</v>
      </c>
      <c r="D90" s="11" t="s">
        <v>295</v>
      </c>
      <c r="E90" s="11">
        <v>27.621659999999999</v>
      </c>
      <c r="F90" s="29">
        <f t="shared" si="2"/>
        <v>0.38784638269296717</v>
      </c>
      <c r="H90" s="16" t="s">
        <v>259</v>
      </c>
      <c r="I90" s="17">
        <v>17567</v>
      </c>
      <c r="J90" s="56">
        <f>Table21[[#This Row],[TRUMP VOTES]]/C184</f>
        <v>0.26545877659574468</v>
      </c>
      <c r="K90" s="18">
        <v>0.63500000000000001</v>
      </c>
      <c r="L90" s="17">
        <v>9524</v>
      </c>
      <c r="M90" s="56">
        <f>Table21[[#This Row],[BIDEN VOTES]]/C184</f>
        <v>0.14391924564796904</v>
      </c>
      <c r="N90" s="18">
        <v>0.34399999999999997</v>
      </c>
      <c r="O90" s="21">
        <f>1-(Table21[[#This Row],[NbP]]+Table21[[#This Row],[NbP2]])</f>
        <v>0.59062197775628622</v>
      </c>
    </row>
    <row r="91" spans="1:15" ht="20">
      <c r="A91" s="13" t="s">
        <v>69</v>
      </c>
      <c r="B91" s="14" t="s">
        <v>1450</v>
      </c>
      <c r="C91" s="13">
        <v>2017</v>
      </c>
      <c r="D91" s="13" t="s">
        <v>295</v>
      </c>
      <c r="E91" s="13">
        <v>18.642589999999998</v>
      </c>
      <c r="F91" s="29">
        <f t="shared" si="2"/>
        <v>0.24640399028577628</v>
      </c>
      <c r="H91" s="16" t="s">
        <v>1486</v>
      </c>
      <c r="I91" s="17">
        <v>10855</v>
      </c>
      <c r="J91" s="56">
        <f>Table21[[#This Row],[TRUMP VOTES]]/C185</f>
        <v>0.38754016422706178</v>
      </c>
      <c r="K91" s="18">
        <v>0.77300000000000002</v>
      </c>
      <c r="L91" s="17">
        <v>2928</v>
      </c>
      <c r="M91" s="56">
        <f>Table21[[#This Row],[BIDEN VOTES]]/C185</f>
        <v>0.10453409496608354</v>
      </c>
      <c r="N91" s="18">
        <v>0.20799999999999999</v>
      </c>
      <c r="O91" s="21">
        <f>1-(Table21[[#This Row],[NbP]]+Table21[[#This Row],[NbP2]])</f>
        <v>0.50792574080685471</v>
      </c>
    </row>
    <row r="92" spans="1:15" ht="20">
      <c r="A92" s="11" t="s">
        <v>69</v>
      </c>
      <c r="B92" s="12" t="s">
        <v>162</v>
      </c>
      <c r="C92" s="11">
        <v>2017</v>
      </c>
      <c r="D92" s="11" t="s">
        <v>295</v>
      </c>
      <c r="E92" s="11">
        <v>24.643550000000001</v>
      </c>
      <c r="F92" s="29">
        <f t="shared" si="2"/>
        <v>0.3409338401633088</v>
      </c>
      <c r="H92" s="16" t="s">
        <v>261</v>
      </c>
      <c r="I92" s="17">
        <v>7957</v>
      </c>
      <c r="J92" s="56">
        <f>Table21[[#This Row],[TRUMP VOTES]]/C186</f>
        <v>0.32930513595166161</v>
      </c>
      <c r="K92" s="18">
        <v>0.71299999999999997</v>
      </c>
      <c r="L92" s="17">
        <v>3032</v>
      </c>
      <c r="M92" s="56">
        <f>Table21[[#This Row],[BIDEN VOTES]]/C186</f>
        <v>0.12548110747837604</v>
      </c>
      <c r="N92" s="18">
        <v>0.27200000000000002</v>
      </c>
      <c r="O92" s="21">
        <f>1-(Table21[[#This Row],[NbP]]+Table21[[#This Row],[NbP2]])</f>
        <v>0.5452137565699624</v>
      </c>
    </row>
    <row r="93" spans="1:15" ht="20">
      <c r="A93" s="59" t="s">
        <v>69</v>
      </c>
      <c r="B93" s="60" t="s">
        <v>1451</v>
      </c>
      <c r="C93" s="59">
        <v>2017</v>
      </c>
      <c r="D93" s="59" t="s">
        <v>295</v>
      </c>
      <c r="E93" s="59">
        <v>22.142119999999998</v>
      </c>
      <c r="F93" s="29">
        <f t="shared" si="2"/>
        <v>0.30153017768611245</v>
      </c>
      <c r="H93" s="16" t="s">
        <v>1487</v>
      </c>
      <c r="I93" s="17">
        <v>12862</v>
      </c>
      <c r="J93" s="56">
        <f>Table21[[#This Row],[TRUMP VOTES]]/C187</f>
        <v>0.37942122186495175</v>
      </c>
      <c r="K93" s="18">
        <v>0.73299999999999998</v>
      </c>
      <c r="L93" s="17">
        <v>4234</v>
      </c>
      <c r="M93" s="56">
        <f>Table21[[#This Row],[BIDEN VOTES]]/C187</f>
        <v>0.12490043954098941</v>
      </c>
      <c r="N93" s="18">
        <v>0.24099999999999999</v>
      </c>
      <c r="O93" s="21">
        <f>1-(Table21[[#This Row],[NbP]]+Table21[[#This Row],[NbP2]])</f>
        <v>0.49567833859405885</v>
      </c>
    </row>
    <row r="95" spans="1:15" ht="21">
      <c r="A95" s="77" t="s">
        <v>1670</v>
      </c>
      <c r="B95" s="77" t="s">
        <v>69</v>
      </c>
      <c r="C95" s="77" t="s">
        <v>54</v>
      </c>
    </row>
    <row r="96" spans="1:15" ht="21">
      <c r="A96" s="52">
        <v>45</v>
      </c>
      <c r="B96" s="53" t="s">
        <v>1144</v>
      </c>
      <c r="C96" s="54">
        <v>35544</v>
      </c>
    </row>
    <row r="97" spans="1:3" ht="21">
      <c r="A97" s="52">
        <v>3</v>
      </c>
      <c r="B97" s="53" t="s">
        <v>1452</v>
      </c>
      <c r="C97" s="54">
        <v>375520</v>
      </c>
    </row>
    <row r="98" spans="1:3" ht="21">
      <c r="A98" s="52">
        <v>18</v>
      </c>
      <c r="B98" s="53" t="s">
        <v>1453</v>
      </c>
      <c r="C98" s="54">
        <v>83280</v>
      </c>
    </row>
    <row r="99" spans="1:3" ht="21">
      <c r="A99" s="52">
        <v>89</v>
      </c>
      <c r="B99" s="53" t="s">
        <v>172</v>
      </c>
      <c r="C99" s="54">
        <v>8695</v>
      </c>
    </row>
    <row r="100" spans="1:3" ht="21">
      <c r="A100" s="52">
        <v>85</v>
      </c>
      <c r="B100" s="53" t="s">
        <v>1454</v>
      </c>
      <c r="C100" s="54">
        <v>11926</v>
      </c>
    </row>
    <row r="101" spans="1:3" ht="21">
      <c r="A101" s="52">
        <v>24</v>
      </c>
      <c r="B101" s="53" t="s">
        <v>827</v>
      </c>
      <c r="C101" s="54">
        <v>66875</v>
      </c>
    </row>
    <row r="102" spans="1:3" ht="21">
      <c r="A102" s="52">
        <v>81</v>
      </c>
      <c r="B102" s="53" t="s">
        <v>354</v>
      </c>
      <c r="C102" s="54">
        <v>15093</v>
      </c>
    </row>
    <row r="103" spans="1:3" ht="21">
      <c r="A103" s="52">
        <v>72</v>
      </c>
      <c r="B103" s="53" t="s">
        <v>178</v>
      </c>
      <c r="C103" s="54">
        <v>20137</v>
      </c>
    </row>
    <row r="104" spans="1:3" ht="21">
      <c r="A104" s="52">
        <v>40</v>
      </c>
      <c r="B104" s="53" t="s">
        <v>363</v>
      </c>
      <c r="C104" s="54">
        <v>37727</v>
      </c>
    </row>
    <row r="105" spans="1:3" ht="21">
      <c r="A105" s="52">
        <v>14</v>
      </c>
      <c r="B105" s="53" t="s">
        <v>1404</v>
      </c>
      <c r="C105" s="54">
        <v>117410</v>
      </c>
    </row>
    <row r="106" spans="1:3" ht="21">
      <c r="A106" s="52">
        <v>60</v>
      </c>
      <c r="B106" s="53" t="s">
        <v>183</v>
      </c>
      <c r="C106" s="54">
        <v>26231</v>
      </c>
    </row>
    <row r="107" spans="1:3" ht="21">
      <c r="A107" s="52">
        <v>51</v>
      </c>
      <c r="B107" s="53" t="s">
        <v>1405</v>
      </c>
      <c r="C107" s="54">
        <v>32186</v>
      </c>
    </row>
    <row r="108" spans="1:3" ht="21">
      <c r="A108" s="52">
        <v>87</v>
      </c>
      <c r="B108" s="53" t="s">
        <v>1331</v>
      </c>
      <c r="C108" s="54">
        <v>10582</v>
      </c>
    </row>
    <row r="109" spans="1:3" ht="21">
      <c r="A109" s="52">
        <v>50</v>
      </c>
      <c r="B109" s="53" t="s">
        <v>1455</v>
      </c>
      <c r="C109" s="54">
        <v>33277</v>
      </c>
    </row>
    <row r="110" spans="1:3" ht="21">
      <c r="A110" s="52">
        <v>28</v>
      </c>
      <c r="B110" s="53" t="s">
        <v>1456</v>
      </c>
      <c r="C110" s="54">
        <v>49612</v>
      </c>
    </row>
    <row r="111" spans="1:3" ht="21">
      <c r="A111" s="52">
        <v>59</v>
      </c>
      <c r="B111" s="53" t="s">
        <v>189</v>
      </c>
      <c r="C111" s="54">
        <v>26587</v>
      </c>
    </row>
    <row r="112" spans="1:3" ht="21">
      <c r="A112" s="52">
        <v>35</v>
      </c>
      <c r="B112" s="53" t="s">
        <v>190</v>
      </c>
      <c r="C112" s="54">
        <v>43193</v>
      </c>
    </row>
    <row r="113" spans="1:3" ht="21">
      <c r="A113" s="52">
        <v>15</v>
      </c>
      <c r="B113" s="53" t="s">
        <v>1457</v>
      </c>
      <c r="C113" s="54">
        <v>114461</v>
      </c>
    </row>
    <row r="114" spans="1:3" ht="21">
      <c r="A114" s="52">
        <v>36</v>
      </c>
      <c r="B114" s="53" t="s">
        <v>1458</v>
      </c>
      <c r="C114" s="54">
        <v>42534</v>
      </c>
    </row>
    <row r="115" spans="1:3" ht="21">
      <c r="A115" s="52">
        <v>6</v>
      </c>
      <c r="B115" s="53" t="s">
        <v>1459</v>
      </c>
      <c r="C115" s="54">
        <v>205184</v>
      </c>
    </row>
    <row r="116" spans="1:3" ht="21">
      <c r="A116" s="52">
        <v>65</v>
      </c>
      <c r="B116" s="53" t="s">
        <v>193</v>
      </c>
      <c r="C116" s="54">
        <v>23068</v>
      </c>
    </row>
    <row r="117" spans="1:3" ht="21">
      <c r="A117" s="52">
        <v>21</v>
      </c>
      <c r="B117" s="53" t="s">
        <v>403</v>
      </c>
      <c r="C117" s="54">
        <v>77879</v>
      </c>
    </row>
    <row r="118" spans="1:3" ht="21">
      <c r="A118" s="52">
        <v>78</v>
      </c>
      <c r="B118" s="53" t="s">
        <v>1460</v>
      </c>
      <c r="C118" s="54">
        <v>16456</v>
      </c>
    </row>
    <row r="119" spans="1:3" ht="21">
      <c r="A119" s="52">
        <v>67</v>
      </c>
      <c r="B119" s="53" t="s">
        <v>195</v>
      </c>
      <c r="C119" s="54">
        <v>22750</v>
      </c>
    </row>
    <row r="120" spans="1:3" ht="21">
      <c r="A120" s="52">
        <v>73</v>
      </c>
      <c r="B120" s="53" t="s">
        <v>1343</v>
      </c>
      <c r="C120" s="54">
        <v>20069</v>
      </c>
    </row>
    <row r="121" spans="1:3" ht="21">
      <c r="A121" s="52">
        <v>48</v>
      </c>
      <c r="B121" s="53" t="s">
        <v>196</v>
      </c>
      <c r="C121" s="54">
        <v>33711</v>
      </c>
    </row>
    <row r="122" spans="1:3" ht="21">
      <c r="A122" s="52">
        <v>26</v>
      </c>
      <c r="B122" s="53" t="s">
        <v>278</v>
      </c>
      <c r="C122" s="54">
        <v>66055</v>
      </c>
    </row>
    <row r="123" spans="1:3" ht="21">
      <c r="A123" s="52">
        <v>52</v>
      </c>
      <c r="B123" s="53" t="s">
        <v>199</v>
      </c>
      <c r="C123" s="54">
        <v>32174</v>
      </c>
    </row>
    <row r="124" spans="1:3" ht="21">
      <c r="A124" s="52">
        <v>4</v>
      </c>
      <c r="B124" s="53" t="s">
        <v>202</v>
      </c>
      <c r="C124" s="54">
        <v>330455</v>
      </c>
    </row>
    <row r="125" spans="1:3" ht="21">
      <c r="A125" s="52">
        <v>22</v>
      </c>
      <c r="B125" s="53" t="s">
        <v>203</v>
      </c>
      <c r="C125" s="54">
        <v>76614</v>
      </c>
    </row>
    <row r="126" spans="1:3" ht="21">
      <c r="A126" s="52">
        <v>37</v>
      </c>
      <c r="B126" s="53" t="s">
        <v>424</v>
      </c>
      <c r="C126" s="54">
        <v>40164</v>
      </c>
    </row>
    <row r="127" spans="1:3" ht="21">
      <c r="A127" s="52">
        <v>10</v>
      </c>
      <c r="B127" s="53" t="s">
        <v>1461</v>
      </c>
      <c r="C127" s="54">
        <v>166806</v>
      </c>
    </row>
    <row r="128" spans="1:3" ht="21">
      <c r="A128" s="52">
        <v>29</v>
      </c>
      <c r="B128" s="53" t="s">
        <v>209</v>
      </c>
      <c r="C128" s="54">
        <v>48158</v>
      </c>
    </row>
    <row r="129" spans="1:3" ht="21">
      <c r="A129" s="52">
        <v>19</v>
      </c>
      <c r="B129" s="53" t="s">
        <v>434</v>
      </c>
      <c r="C129" s="54">
        <v>82486</v>
      </c>
    </row>
    <row r="130" spans="1:3" ht="21">
      <c r="A130" s="52">
        <v>43</v>
      </c>
      <c r="B130" s="53" t="s">
        <v>1462</v>
      </c>
      <c r="C130" s="54">
        <v>36351</v>
      </c>
    </row>
    <row r="131" spans="1:3" ht="21">
      <c r="A131" s="52">
        <v>34</v>
      </c>
      <c r="B131" s="53" t="s">
        <v>213</v>
      </c>
      <c r="C131" s="54">
        <v>44077</v>
      </c>
    </row>
    <row r="132" spans="1:3" ht="21">
      <c r="A132" s="52">
        <v>49</v>
      </c>
      <c r="B132" s="53" t="s">
        <v>440</v>
      </c>
      <c r="C132" s="54">
        <v>33433</v>
      </c>
    </row>
    <row r="133" spans="1:3" ht="21">
      <c r="A133" s="52">
        <v>69</v>
      </c>
      <c r="B133" s="53" t="s">
        <v>1463</v>
      </c>
      <c r="C133" s="54">
        <v>20697</v>
      </c>
    </row>
    <row r="134" spans="1:3" ht="21">
      <c r="A134" s="52">
        <v>53</v>
      </c>
      <c r="B134" s="53" t="s">
        <v>214</v>
      </c>
      <c r="C134" s="54">
        <v>32167</v>
      </c>
    </row>
    <row r="135" spans="1:3" ht="21">
      <c r="A135" s="52">
        <v>58</v>
      </c>
      <c r="B135" s="53" t="s">
        <v>1464</v>
      </c>
      <c r="C135" s="54">
        <v>27639</v>
      </c>
    </row>
    <row r="136" spans="1:3" ht="21">
      <c r="A136" s="52">
        <v>11</v>
      </c>
      <c r="B136" s="53" t="s">
        <v>215</v>
      </c>
      <c r="C136" s="54">
        <v>156148</v>
      </c>
    </row>
    <row r="137" spans="1:3" ht="21">
      <c r="A137" s="52">
        <v>42</v>
      </c>
      <c r="B137" s="53" t="s">
        <v>216</v>
      </c>
      <c r="C137" s="54">
        <v>36833</v>
      </c>
    </row>
    <row r="138" spans="1:3" ht="21">
      <c r="A138" s="52">
        <v>20</v>
      </c>
      <c r="B138" s="53" t="s">
        <v>1465</v>
      </c>
      <c r="C138" s="54">
        <v>79156</v>
      </c>
    </row>
    <row r="139" spans="1:3" ht="21">
      <c r="A139" s="52">
        <v>38</v>
      </c>
      <c r="B139" s="53" t="s">
        <v>1466</v>
      </c>
      <c r="C139" s="54">
        <v>39537</v>
      </c>
    </row>
    <row r="140" spans="1:3" ht="21">
      <c r="A140" s="52">
        <v>2</v>
      </c>
      <c r="B140" s="53" t="s">
        <v>217</v>
      </c>
      <c r="C140" s="54">
        <v>485983</v>
      </c>
    </row>
    <row r="141" spans="1:3" ht="21">
      <c r="A141" s="52">
        <v>16</v>
      </c>
      <c r="B141" s="53" t="s">
        <v>1467</v>
      </c>
      <c r="C141" s="54">
        <v>110026</v>
      </c>
    </row>
    <row r="142" spans="1:3" ht="21">
      <c r="A142" s="52">
        <v>32</v>
      </c>
      <c r="B142" s="53" t="s">
        <v>219</v>
      </c>
      <c r="C142" s="54">
        <v>45552</v>
      </c>
    </row>
    <row r="143" spans="1:3" ht="21">
      <c r="A143" s="52">
        <v>13</v>
      </c>
      <c r="B143" s="53" t="s">
        <v>226</v>
      </c>
      <c r="C143" s="54">
        <v>129486</v>
      </c>
    </row>
    <row r="144" spans="1:3" ht="21">
      <c r="A144" s="52">
        <v>1</v>
      </c>
      <c r="B144" s="53" t="s">
        <v>227</v>
      </c>
      <c r="C144" s="54">
        <v>957337</v>
      </c>
    </row>
    <row r="145" spans="1:3" ht="21">
      <c r="A145" s="52">
        <v>31</v>
      </c>
      <c r="B145" s="53" t="s">
        <v>228</v>
      </c>
      <c r="C145" s="54">
        <v>46336</v>
      </c>
    </row>
    <row r="146" spans="1:3" ht="21">
      <c r="A146" s="52">
        <v>88</v>
      </c>
      <c r="B146" s="53" t="s">
        <v>469</v>
      </c>
      <c r="C146" s="54">
        <v>10169</v>
      </c>
    </row>
    <row r="147" spans="1:3" ht="21">
      <c r="A147" s="52">
        <v>44</v>
      </c>
      <c r="B147" s="53" t="s">
        <v>1468</v>
      </c>
      <c r="C147" s="54">
        <v>35684</v>
      </c>
    </row>
    <row r="148" spans="1:3" ht="21">
      <c r="A148" s="52">
        <v>12</v>
      </c>
      <c r="B148" s="53" t="s">
        <v>231</v>
      </c>
      <c r="C148" s="54">
        <v>147318</v>
      </c>
    </row>
    <row r="149" spans="1:3" ht="21">
      <c r="A149" s="52">
        <v>39</v>
      </c>
      <c r="B149" s="53" t="s">
        <v>232</v>
      </c>
      <c r="C149" s="54">
        <v>38295</v>
      </c>
    </row>
    <row r="150" spans="1:3" ht="21">
      <c r="A150" s="52">
        <v>23</v>
      </c>
      <c r="B150" s="53" t="s">
        <v>234</v>
      </c>
      <c r="C150" s="54">
        <v>70141</v>
      </c>
    </row>
    <row r="151" spans="1:3" ht="21">
      <c r="A151" s="52">
        <v>82</v>
      </c>
      <c r="B151" s="53" t="s">
        <v>487</v>
      </c>
      <c r="C151" s="54">
        <v>13981</v>
      </c>
    </row>
    <row r="152" spans="1:3" ht="21">
      <c r="A152" s="52">
        <v>30</v>
      </c>
      <c r="B152" s="53" t="s">
        <v>1469</v>
      </c>
      <c r="C152" s="54">
        <v>47640</v>
      </c>
    </row>
    <row r="153" spans="1:3" ht="21">
      <c r="A153" s="52">
        <v>92</v>
      </c>
      <c r="B153" s="53" t="s">
        <v>843</v>
      </c>
      <c r="C153" s="54">
        <v>5890</v>
      </c>
    </row>
    <row r="154" spans="1:3" ht="21">
      <c r="A154" s="52">
        <v>74</v>
      </c>
      <c r="B154" s="53" t="s">
        <v>491</v>
      </c>
      <c r="C154" s="54">
        <v>19552</v>
      </c>
    </row>
    <row r="155" spans="1:3" ht="21">
      <c r="A155" s="52">
        <v>68</v>
      </c>
      <c r="B155" s="53" t="s">
        <v>1470</v>
      </c>
      <c r="C155" s="54">
        <v>20854</v>
      </c>
    </row>
    <row r="156" spans="1:3" ht="21">
      <c r="A156" s="52">
        <v>76</v>
      </c>
      <c r="B156" s="53" t="s">
        <v>1471</v>
      </c>
      <c r="C156" s="54">
        <v>16912</v>
      </c>
    </row>
    <row r="157" spans="1:3" ht="21">
      <c r="A157" s="52">
        <v>75</v>
      </c>
      <c r="B157" s="53" t="s">
        <v>237</v>
      </c>
      <c r="C157" s="54">
        <v>19091</v>
      </c>
    </row>
    <row r="158" spans="1:3" ht="21">
      <c r="A158" s="52">
        <v>84</v>
      </c>
      <c r="B158" s="53" t="s">
        <v>945</v>
      </c>
      <c r="C158" s="54">
        <v>12364</v>
      </c>
    </row>
    <row r="159" spans="1:3" ht="21">
      <c r="A159" s="52">
        <v>9</v>
      </c>
      <c r="B159" s="53" t="s">
        <v>1472</v>
      </c>
      <c r="C159" s="54">
        <v>169482</v>
      </c>
    </row>
    <row r="160" spans="1:3" ht="21">
      <c r="A160" s="52">
        <v>61</v>
      </c>
      <c r="B160" s="53" t="s">
        <v>1473</v>
      </c>
      <c r="C160" s="54">
        <v>25480</v>
      </c>
    </row>
    <row r="161" spans="1:3" ht="21">
      <c r="A161" s="52">
        <v>83</v>
      </c>
      <c r="B161" s="53" t="s">
        <v>1370</v>
      </c>
      <c r="C161" s="54">
        <v>12482</v>
      </c>
    </row>
    <row r="162" spans="1:3" ht="21">
      <c r="A162" s="52">
        <v>41</v>
      </c>
      <c r="B162" s="53" t="s">
        <v>240</v>
      </c>
      <c r="C162" s="54">
        <v>37419</v>
      </c>
    </row>
    <row r="163" spans="1:3" ht="21">
      <c r="A163" s="52">
        <v>62</v>
      </c>
      <c r="B163" s="53" t="s">
        <v>849</v>
      </c>
      <c r="C163" s="54">
        <v>24694</v>
      </c>
    </row>
    <row r="164" spans="1:3" ht="21">
      <c r="A164" s="52">
        <v>55</v>
      </c>
      <c r="B164" s="53" t="s">
        <v>1474</v>
      </c>
      <c r="C164" s="54">
        <v>28457</v>
      </c>
    </row>
    <row r="165" spans="1:3" ht="21">
      <c r="A165" s="52">
        <v>77</v>
      </c>
      <c r="B165" s="53" t="s">
        <v>1475</v>
      </c>
      <c r="C165" s="54">
        <v>16632</v>
      </c>
    </row>
    <row r="166" spans="1:3" ht="21">
      <c r="A166" s="52">
        <v>64</v>
      </c>
      <c r="B166" s="53" t="s">
        <v>245</v>
      </c>
      <c r="C166" s="54">
        <v>23785</v>
      </c>
    </row>
    <row r="167" spans="1:3" ht="21">
      <c r="A167" s="52">
        <v>33</v>
      </c>
      <c r="B167" s="53" t="s">
        <v>264</v>
      </c>
      <c r="C167" s="54">
        <v>44559</v>
      </c>
    </row>
    <row r="168" spans="1:3" ht="21">
      <c r="A168" s="52">
        <v>71</v>
      </c>
      <c r="B168" s="53" t="s">
        <v>1477</v>
      </c>
      <c r="C168" s="54">
        <v>20364</v>
      </c>
    </row>
    <row r="169" spans="1:3" ht="21">
      <c r="A169" s="52">
        <v>5</v>
      </c>
      <c r="B169" s="53" t="s">
        <v>1476</v>
      </c>
      <c r="C169" s="54">
        <v>270881</v>
      </c>
    </row>
    <row r="170" spans="1:3" ht="21">
      <c r="A170" s="52">
        <v>66</v>
      </c>
      <c r="B170" s="53" t="s">
        <v>1478</v>
      </c>
      <c r="C170" s="54">
        <v>22996</v>
      </c>
    </row>
    <row r="171" spans="1:3" ht="21">
      <c r="A171" s="52">
        <v>46</v>
      </c>
      <c r="B171" s="53" t="s">
        <v>1479</v>
      </c>
      <c r="C171" s="54">
        <v>34591</v>
      </c>
    </row>
    <row r="172" spans="1:3" ht="21">
      <c r="A172" s="52">
        <v>70</v>
      </c>
      <c r="B172" s="53" t="s">
        <v>250</v>
      </c>
      <c r="C172" s="54">
        <v>20647</v>
      </c>
    </row>
    <row r="173" spans="1:3" ht="21">
      <c r="A173" s="52">
        <v>86</v>
      </c>
      <c r="B173" s="53" t="s">
        <v>1480</v>
      </c>
      <c r="C173" s="54">
        <v>10727</v>
      </c>
    </row>
    <row r="174" spans="1:3" ht="21">
      <c r="A174" s="52">
        <v>7</v>
      </c>
      <c r="B174" s="53" t="s">
        <v>1481</v>
      </c>
      <c r="C174" s="54">
        <v>193302</v>
      </c>
    </row>
    <row r="175" spans="1:3" ht="21">
      <c r="A175" s="52">
        <v>80</v>
      </c>
      <c r="B175" s="53" t="s">
        <v>252</v>
      </c>
      <c r="C175" s="54">
        <v>15154</v>
      </c>
    </row>
    <row r="176" spans="1:3" ht="21">
      <c r="A176" s="52">
        <v>91</v>
      </c>
      <c r="B176" s="53" t="s">
        <v>255</v>
      </c>
      <c r="C176" s="54">
        <v>7140</v>
      </c>
    </row>
    <row r="177" spans="1:3" ht="21">
      <c r="A177" s="52">
        <v>8</v>
      </c>
      <c r="B177" s="53" t="s">
        <v>1482</v>
      </c>
      <c r="C177" s="54">
        <v>181548</v>
      </c>
    </row>
    <row r="178" spans="1:3" ht="21">
      <c r="A178" s="52">
        <v>79</v>
      </c>
      <c r="B178" s="53" t="s">
        <v>1483</v>
      </c>
      <c r="C178" s="54">
        <v>15485</v>
      </c>
    </row>
    <row r="179" spans="1:3" ht="21">
      <c r="A179" s="52">
        <v>17</v>
      </c>
      <c r="B179" s="53" t="s">
        <v>1484</v>
      </c>
      <c r="C179" s="54">
        <v>107305</v>
      </c>
    </row>
    <row r="180" spans="1:3" ht="21">
      <c r="A180" s="52">
        <v>54</v>
      </c>
      <c r="B180" s="53" t="s">
        <v>1412</v>
      </c>
      <c r="C180" s="54">
        <v>31198</v>
      </c>
    </row>
    <row r="181" spans="1:3" ht="21">
      <c r="A181" s="52">
        <v>90</v>
      </c>
      <c r="B181" s="53" t="s">
        <v>257</v>
      </c>
      <c r="C181" s="54">
        <v>8219</v>
      </c>
    </row>
    <row r="182" spans="1:3" ht="21">
      <c r="A182" s="52">
        <v>27</v>
      </c>
      <c r="B182" s="53" t="s">
        <v>1485</v>
      </c>
      <c r="C182" s="54">
        <v>62608</v>
      </c>
    </row>
    <row r="183" spans="1:3" ht="21">
      <c r="A183" s="52">
        <v>57</v>
      </c>
      <c r="B183" s="53" t="s">
        <v>258</v>
      </c>
      <c r="C183" s="54">
        <v>27942</v>
      </c>
    </row>
    <row r="184" spans="1:3" ht="21">
      <c r="A184" s="52">
        <v>25</v>
      </c>
      <c r="B184" s="53" t="s">
        <v>259</v>
      </c>
      <c r="C184" s="54">
        <v>66176</v>
      </c>
    </row>
    <row r="185" spans="1:3" ht="21">
      <c r="A185" s="52">
        <v>56</v>
      </c>
      <c r="B185" s="53" t="s">
        <v>1486</v>
      </c>
      <c r="C185" s="54">
        <v>28010</v>
      </c>
    </row>
    <row r="186" spans="1:3" ht="21">
      <c r="A186" s="52">
        <v>63</v>
      </c>
      <c r="B186" s="53" t="s">
        <v>261</v>
      </c>
      <c r="C186" s="54">
        <v>24163</v>
      </c>
    </row>
    <row r="187" spans="1:3" ht="21">
      <c r="A187" s="52">
        <v>47</v>
      </c>
      <c r="B187" s="53" t="s">
        <v>1487</v>
      </c>
      <c r="C187" s="54">
        <v>33899</v>
      </c>
    </row>
  </sheetData>
  <hyperlinks>
    <hyperlink ref="B144" r:id="rId1" display="https://www.indiana-demographics.com/marion-county-demographics" xr:uid="{0E949507-98EE-FC41-A907-A4792894B4DC}"/>
    <hyperlink ref="B140" r:id="rId2" display="https://www.indiana-demographics.com/lake-county-demographics" xr:uid="{3577D8C4-D6ED-F641-B8E5-23CC6D9CDA25}"/>
    <hyperlink ref="B97" r:id="rId3" display="https://www.indiana-demographics.com/allen-county-demographics" xr:uid="{D9F4CC44-CEFE-F145-8871-DE3B068316BE}"/>
    <hyperlink ref="B124" r:id="rId4" display="https://www.indiana-demographics.com/hamilton-county-demographics" xr:uid="{92533D55-3614-F64A-A689-472DDB3784E2}"/>
    <hyperlink ref="B169" r:id="rId5" display="https://www.indiana-demographics.com/st-joseph-county-demographics" xr:uid="{657DE2EB-47BE-E142-B0F7-FA02F208E5FD}"/>
    <hyperlink ref="B115" r:id="rId6" display="https://www.indiana-demographics.com/elkhart-county-demographics" xr:uid="{B85A85F4-AD6B-0249-AB6B-47179EA3CACE}"/>
    <hyperlink ref="B174" r:id="rId7" display="https://www.indiana-demographics.com/tippecanoe-county-demographics" xr:uid="{2CB4D507-AD39-3345-8DE2-010F6E3F5E7D}"/>
    <hyperlink ref="B177" r:id="rId8" display="https://www.indiana-demographics.com/vanderburgh-county-demographics" xr:uid="{520B48E1-4BFF-FA4D-AD79-45BD4B96D83C}"/>
    <hyperlink ref="B159" r:id="rId9" display="https://www.indiana-demographics.com/porter-county-demographics" xr:uid="{DAB69098-AD4D-3F42-9024-FF33A1C49B7D}"/>
    <hyperlink ref="B127" r:id="rId10" display="https://www.indiana-demographics.com/hendricks-county-demographics" xr:uid="{78CDD15E-3693-A441-9A13-1DFED9C635FF}"/>
    <hyperlink ref="B136" r:id="rId11" display="https://www.indiana-demographics.com/johnson-county-demographics" xr:uid="{64F5E1A5-0670-3346-899F-4D2AD9F23EAB}"/>
    <hyperlink ref="B148" r:id="rId12" display="https://www.indiana-demographics.com/monroe-county-demographics" xr:uid="{42BAC750-D93B-BB42-89B2-836B6703C668}"/>
    <hyperlink ref="B143" r:id="rId13" display="https://www.indiana-demographics.com/madison-county-demographics" xr:uid="{5AB8D0E8-B976-4A4C-A3D4-D3FA088F85AC}"/>
    <hyperlink ref="B105" r:id="rId14" display="https://www.indiana-demographics.com/clark-county-demographics" xr:uid="{0B40D76F-1324-3B41-A0BE-8B5AAA9254B9}"/>
    <hyperlink ref="B113" r:id="rId15" display="https://www.indiana-demographics.com/delaware-county-demographics" xr:uid="{7D335ACE-1EB4-4949-85CE-2CAC91645106}"/>
    <hyperlink ref="B141" r:id="rId16" display="https://www.indiana-demographics.com/laporte-county-demographics" xr:uid="{A2C387C3-168A-EE43-8804-C37E7DD8EB17}"/>
    <hyperlink ref="B179" r:id="rId17" display="https://www.indiana-demographics.com/vigo-county-demographics" xr:uid="{79800538-C17C-B94F-80F6-D6E8ECD30B7B}"/>
    <hyperlink ref="B98" r:id="rId18" display="https://www.indiana-demographics.com/bartholomew-county-demographics" xr:uid="{F6966873-97C2-9244-AE29-BF4698D10C04}"/>
    <hyperlink ref="B129" r:id="rId19" display="https://www.indiana-demographics.com/howard-county-demographics" xr:uid="{F3F317DC-A555-EA4C-90EF-AB1C71670EAB}"/>
    <hyperlink ref="B138" r:id="rId20" display="https://www.indiana-demographics.com/kosciusko-county-demographics" xr:uid="{5B0D469E-5FDD-6B41-84B1-1163F2FA1921}"/>
    <hyperlink ref="B117" r:id="rId21" display="https://www.indiana-demographics.com/floyd-county-demographics" xr:uid="{FC655EE1-1AE6-6B4B-A433-66BEC31E15E9}"/>
    <hyperlink ref="B125" r:id="rId22" display="https://www.indiana-demographics.com/hancock-county-demographics" xr:uid="{906758C6-C420-B04C-9B61-834D5D20983F}"/>
    <hyperlink ref="B150" r:id="rId23" display="https://www.indiana-demographics.com/morgan-county-demographics" xr:uid="{B177EE74-2DCC-324B-8742-A86D245BA74A}"/>
    <hyperlink ref="B101" r:id="rId24" display="https://www.indiana-demographics.com/boone-county-demographics" xr:uid="{2E20F3AA-C1E4-A94D-AC94-48849AD68734}"/>
    <hyperlink ref="B184" r:id="rId25" display="https://www.indiana-demographics.com/wayne-county-demographics" xr:uid="{39AEC432-E139-E447-ABB4-C21CB6141FBF}"/>
    <hyperlink ref="B122" r:id="rId26" display="https://www.indiana-demographics.com/grant-county-demographics" xr:uid="{A8649FC7-BC88-CE43-95D7-5CE93DAEF31F}"/>
    <hyperlink ref="B182" r:id="rId27" display="https://www.indiana-demographics.com/warrick-county-demographics" xr:uid="{B3C19FF9-6203-4A46-BB0B-7638AD24E403}"/>
    <hyperlink ref="B110" r:id="rId28" display="https://www.indiana-demographics.com/dearborn-county-demographics" xr:uid="{766BD9F9-8D58-934A-9D7E-5E6AA5621123}"/>
    <hyperlink ref="B128" r:id="rId29" display="https://www.indiana-demographics.com/henry-county-demographics" xr:uid="{B81850DC-601F-684F-A559-F6A7BCB9ADD1}"/>
    <hyperlink ref="B152" r:id="rId30" display="https://www.indiana-demographics.com/noble-county-demographics" xr:uid="{0CF40364-1FDD-1645-97BE-C58290E8AE68}"/>
    <hyperlink ref="B145" r:id="rId31" display="https://www.indiana-demographics.com/marshall-county-demographics" xr:uid="{A9F189E4-19EB-F64B-97EA-AF16C6832024}"/>
    <hyperlink ref="B142" r:id="rId32" display="https://www.indiana-demographics.com/lawrence-county-demographics" xr:uid="{4CBF187B-6C2C-334E-A866-EF82450C44FE}"/>
    <hyperlink ref="B167" r:id="rId33" display="https://www.indiana-demographics.com/shelby-county-demographics" xr:uid="{2F80CA4D-42AF-E944-9FE1-369917506ED5}"/>
    <hyperlink ref="B131" r:id="rId34" display="https://www.indiana-demographics.com/jackson-county-demographics" xr:uid="{98FE1FEA-9665-0542-B2B3-10377D302BE3}"/>
    <hyperlink ref="B112" r:id="rId35" display="https://www.indiana-demographics.com/dekalb-county-demographics" xr:uid="{7C8C5400-7E0F-194D-B999-EB4C18844751}"/>
    <hyperlink ref="B114" r:id="rId36" display="https://www.indiana-demographics.com/dubois-county-demographics" xr:uid="{5A68E8B0-4CA1-EB45-A49C-2F8F537E1016}"/>
    <hyperlink ref="B126" r:id="rId37" display="https://www.indiana-demographics.com/harrison-county-demographics" xr:uid="{D59A473F-3588-214D-ADD7-46C8E2F721B9}"/>
    <hyperlink ref="B139" r:id="rId38" display="https://www.indiana-demographics.com/lagrange-county-demographics" xr:uid="{F9599248-33D7-E84C-8251-208BBF9A7838}"/>
    <hyperlink ref="B149" r:id="rId39" display="https://www.indiana-demographics.com/montgomery-county-demographics" xr:uid="{2208B77C-B782-CC47-B2BF-99FDBB3BF35F}"/>
    <hyperlink ref="B104" r:id="rId40" display="https://www.indiana-demographics.com/cass-county-demographics" xr:uid="{44968AC2-A722-8C45-909A-07AFBD52703B}"/>
    <hyperlink ref="B162" r:id="rId41" display="https://www.indiana-demographics.com/putnam-county-demographics" xr:uid="{D6F5449F-F31E-494E-9A54-7B95596A6105}"/>
    <hyperlink ref="B137" r:id="rId42" display="https://www.indiana-demographics.com/knox-county-demographics" xr:uid="{EA1547DB-FF64-254C-BFE1-BE43061FB742}"/>
    <hyperlink ref="B130" r:id="rId43" display="https://www.indiana-demographics.com/huntington-county-demographics" xr:uid="{491E4E9E-B586-5147-BAB6-5CB86CFFE319}"/>
    <hyperlink ref="B147" r:id="rId44" display="https://www.indiana-demographics.com/miami-county-demographics" xr:uid="{869AC143-D27A-BF4E-A118-5118BBFDFF22}"/>
    <hyperlink ref="B96" r:id="rId45" display="https://www.indiana-demographics.com/adams-county-demographics" xr:uid="{B35B4BCF-4F30-164D-835D-1FB8BE57AD70}"/>
    <hyperlink ref="B171" r:id="rId46" display="https://www.indiana-demographics.com/steuben-county-demographics" xr:uid="{E63D317B-5ED5-DE4D-B990-3ACAB5BAEAF8}"/>
    <hyperlink ref="B187" r:id="rId47" display="https://www.indiana-demographics.com/whitley-county-demographics" xr:uid="{F05A8C9D-0E28-BD48-8B40-A8895D70BE68}"/>
    <hyperlink ref="B121" r:id="rId48" display="https://www.indiana-demographics.com/gibson-county-demographics" xr:uid="{E9240575-844D-D649-9D44-79B9F09E5A6B}"/>
    <hyperlink ref="B132" r:id="rId49" display="https://www.indiana-demographics.com/jasper-county-demographics" xr:uid="{2BE3C8CE-B59C-CC4E-9BEC-7978A7EAA339}"/>
    <hyperlink ref="B109" r:id="rId50" display="https://www.indiana-demographics.com/daviess-county-demographics" xr:uid="{2ACE5886-1608-6442-BF8C-3783E6D376F8}"/>
    <hyperlink ref="B107" r:id="rId51" display="https://www.indiana-demographics.com/clinton-county-demographics" xr:uid="{B8CAE5B4-463F-3948-BD2E-535454EC5955}"/>
    <hyperlink ref="B123" r:id="rId52" display="https://www.indiana-demographics.com/greene-county-demographics" xr:uid="{B2CBEB24-A903-5D41-ACBB-8F0ED2B35E30}"/>
    <hyperlink ref="B134" r:id="rId53" display="https://www.indiana-demographics.com/jefferson-county-demographics" xr:uid="{806F42D3-3EF0-0248-88C1-F8A1C0818C1F}"/>
    <hyperlink ref="B180" r:id="rId54" display="https://www.indiana-demographics.com/wabash-county-demographics" xr:uid="{ED8CDFF9-DED9-B144-9214-2836A7A4700F}"/>
    <hyperlink ref="B164" r:id="rId55" display="https://www.indiana-demographics.com/ripley-county-demographics" xr:uid="{3B592840-01AA-9348-8A29-64C3BF66C496}"/>
    <hyperlink ref="B185" r:id="rId56" display="https://www.indiana-demographics.com/wells-county-demographics" xr:uid="{C740786D-044E-4E40-B242-506E8CF9CC52}"/>
    <hyperlink ref="B183" r:id="rId57" display="https://www.indiana-demographics.com/washington-county-demographics" xr:uid="{2A6C2C2F-93A5-C643-A4AA-B193F488FEFB}"/>
    <hyperlink ref="B135" r:id="rId58" display="https://www.indiana-demographics.com/jennings-county-demographics" xr:uid="{8429E76E-5FD5-7245-A188-3CBC7D23BF7F}"/>
    <hyperlink ref="B111" r:id="rId59" display="https://www.indiana-demographics.com/decatur-county-demographics" xr:uid="{1C732F79-99D5-8049-826E-00E94A5C6DA4}"/>
    <hyperlink ref="B106" r:id="rId60" display="https://www.indiana-demographics.com/clay-county-demographics" xr:uid="{75063F8A-E964-8547-9134-BDDD948DFB2E}"/>
    <hyperlink ref="B160" r:id="rId61" display="https://www.indiana-demographics.com/posey-county-demographics" xr:uid="{31BC3A3A-7757-C940-ACF7-E97E6CACFD41}"/>
    <hyperlink ref="B163" r:id="rId62" display="https://www.indiana-demographics.com/randolph-county-demographics" xr:uid="{E5056566-249B-FE4E-BFB9-337F9C8CAEF4}"/>
    <hyperlink ref="B186" r:id="rId63" display="https://www.indiana-demographics.com/white-county-demographics" xr:uid="{A9408E27-B8B1-4A40-B469-91049E33B3AA}"/>
    <hyperlink ref="B166" r:id="rId64" display="https://www.indiana-demographics.com/scott-county-demographics" xr:uid="{87BCB554-A618-7A4C-BE8F-89C5ADA5D3AC}"/>
    <hyperlink ref="B116" r:id="rId65" display="https://www.indiana-demographics.com/fayette-county-demographics" xr:uid="{6790D6B9-BA50-0C4F-8AB5-E511E300C1EB}"/>
    <hyperlink ref="B170" r:id="rId66" display="https://www.indiana-demographics.com/starke-county-demographics" xr:uid="{27614D17-E539-B740-A3E5-123A20F6AAD5}"/>
    <hyperlink ref="B119" r:id="rId67" display="https://www.indiana-demographics.com/franklin-county-demographics" xr:uid="{1A403A31-1AED-704A-8940-E42749D9F16E}"/>
    <hyperlink ref="B155" r:id="rId68" display="https://www.indiana-demographics.com/owen-county-demographics" xr:uid="{86325C09-1418-7544-B752-9D2E2150C541}"/>
    <hyperlink ref="B133" r:id="rId69" display="https://www.indiana-demographics.com/jay-county-demographics" xr:uid="{D0461AAD-5F7D-884F-BC01-873CD8562E50}"/>
    <hyperlink ref="B172" r:id="rId70" display="https://www.indiana-demographics.com/sullivan-county-demographics" xr:uid="{F67C395C-A3D3-8544-B50C-0E20EDBD8708}"/>
    <hyperlink ref="B168" r:id="rId71" display="https://www.indiana-demographics.com/spencer-county-demographics" xr:uid="{515FDCF2-CC5C-624D-A948-6C06EA4493F6}"/>
    <hyperlink ref="B103" r:id="rId72" display="https://www.indiana-demographics.com/carroll-county-demographics" xr:uid="{8E568CCA-318A-4F47-91C8-FD432FA6EA77}"/>
    <hyperlink ref="B120" r:id="rId73" display="https://www.indiana-demographics.com/fulton-county-demographics" xr:uid="{78535808-027C-BD46-8E28-F6EEB53AC3F0}"/>
    <hyperlink ref="B154" r:id="rId74" display="https://www.indiana-demographics.com/orange-county-demographics" xr:uid="{4A24048E-62DC-7947-ACB7-11AC68F00EEA}"/>
    <hyperlink ref="B157" r:id="rId75" display="https://www.indiana-demographics.com/perry-county-demographics" xr:uid="{E68442AE-B059-844D-9825-308FFD49EFAB}"/>
    <hyperlink ref="B156" r:id="rId76" display="https://www.indiana-demographics.com/parke-county-demographics" xr:uid="{B07BFC93-BC2A-2344-B258-0835C2BE9E2A}"/>
    <hyperlink ref="B165" r:id="rId77" display="https://www.indiana-demographics.com/rush-county-demographics" xr:uid="{FF3D7AC0-F0D8-0D42-AAFE-589594D81E94}"/>
    <hyperlink ref="B118" r:id="rId78" display="https://www.indiana-demographics.com/fountain-county-demographics" xr:uid="{13CF33AA-E3AE-7149-824A-D39DF52AF68E}"/>
    <hyperlink ref="B178" r:id="rId79" display="https://www.indiana-demographics.com/vermillion-county-demographics" xr:uid="{B154D9A5-61A2-D742-A69E-42941FF9839A}"/>
    <hyperlink ref="B175" r:id="rId80" display="https://www.indiana-demographics.com/tipton-county-demographics" xr:uid="{28B898D8-2E32-0544-82C0-0054E5B02323}"/>
    <hyperlink ref="B102" r:id="rId81" display="https://www.indiana-demographics.com/brown-county-demographics" xr:uid="{22D4A020-F424-D94B-9DB8-C951C8D58019}"/>
    <hyperlink ref="B151" r:id="rId82" display="https://www.indiana-demographics.com/newton-county-demographics" xr:uid="{19C70B73-FB1B-6C42-A9BC-B96B937A1BCC}"/>
    <hyperlink ref="B161" r:id="rId83" display="https://www.indiana-demographics.com/pulaski-county-demographics" xr:uid="{377E2F0D-72FC-FF45-97FD-94356FEF6088}"/>
    <hyperlink ref="B158" r:id="rId84" display="https://www.indiana-demographics.com/pike-county-demographics" xr:uid="{9E5DFB46-0B82-8A48-A664-D1DA332687F8}"/>
    <hyperlink ref="B100" r:id="rId85" display="https://www.indiana-demographics.com/blackford-county-demographics" xr:uid="{B9A3BED9-281C-BD40-9FFD-9C2A6DF48581}"/>
    <hyperlink ref="B173" r:id="rId86" display="https://www.indiana-demographics.com/switzerland-county-demographics" xr:uid="{8F0A0734-71AA-474D-842F-9601BEB7F995}"/>
    <hyperlink ref="B108" r:id="rId87" display="https://www.indiana-demographics.com/crawford-county-demographics" xr:uid="{7CBDF1CC-B5D0-324A-83B0-3A2F4112CF89}"/>
    <hyperlink ref="B146" r:id="rId88" display="https://www.indiana-demographics.com/martin-county-demographics" xr:uid="{FDD3C119-65A3-654C-982E-A932ABBBDB9C}"/>
    <hyperlink ref="B99" r:id="rId89" display="https://www.indiana-demographics.com/benton-county-demographics" xr:uid="{16641311-FE2B-2548-8733-B840D1DE6D6A}"/>
    <hyperlink ref="B181" r:id="rId90" display="https://www.indiana-demographics.com/warren-county-demographics" xr:uid="{048F2183-1602-FE41-A339-6720C9D3AC87}"/>
    <hyperlink ref="B176" r:id="rId91" display="https://www.indiana-demographics.com/union-county-demographics" xr:uid="{BBCF5E30-746A-2A44-903C-99F230818B06}"/>
    <hyperlink ref="B153" r:id="rId92" display="https://www.indiana-demographics.com/ohio-county-demographics" xr:uid="{5A2B1FAA-4816-B747-BD97-7A72E565C807}"/>
  </hyperlinks>
  <pageMargins left="0.7" right="0.7" top="0.75" bottom="0.75" header="0.3" footer="0.3"/>
  <tableParts count="3">
    <tablePart r:id="rId93"/>
    <tablePart r:id="rId94"/>
    <tablePart r:id="rId9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8E56-DE12-8041-9D20-51BD5236DA69}">
  <dimension ref="A1:S201"/>
  <sheetViews>
    <sheetView topLeftCell="B1" workbookViewId="0">
      <selection activeCell="R2" sqref="R2:R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8" max="8" width="12.1640625" customWidth="1"/>
    <col min="9" max="9" width="18.33203125" customWidth="1"/>
    <col min="10" max="10" width="12" style="1" customWidth="1"/>
    <col min="11" max="11" width="15.5" customWidth="1"/>
    <col min="12" max="12" width="17.33203125" customWidth="1"/>
    <col min="13" max="13" width="12" style="1" customWidth="1"/>
    <col min="14" max="14" width="14.5" customWidth="1"/>
  </cols>
  <sheetData>
    <row r="1" spans="1:19" ht="17">
      <c r="A1" s="73" t="s">
        <v>63</v>
      </c>
      <c r="B1" s="73" t="s">
        <v>64</v>
      </c>
      <c r="C1" s="73" t="s">
        <v>65</v>
      </c>
      <c r="D1" s="73" t="s">
        <v>66</v>
      </c>
      <c r="E1" s="73" t="s">
        <v>67</v>
      </c>
      <c r="F1" s="73" t="s">
        <v>68</v>
      </c>
      <c r="H1" s="15" t="s">
        <v>165</v>
      </c>
      <c r="I1" s="15" t="s">
        <v>166</v>
      </c>
      <c r="J1" s="15" t="s">
        <v>68</v>
      </c>
      <c r="K1" s="15" t="s">
        <v>167</v>
      </c>
      <c r="L1" s="15" t="s">
        <v>168</v>
      </c>
      <c r="M1" s="15" t="s">
        <v>823</v>
      </c>
      <c r="N1" s="15" t="s">
        <v>169</v>
      </c>
      <c r="O1" s="15" t="s">
        <v>62</v>
      </c>
      <c r="R1" t="s">
        <v>267</v>
      </c>
      <c r="S1" t="s">
        <v>328</v>
      </c>
    </row>
    <row r="2" spans="1:19" ht="20">
      <c r="A2" s="47" t="s">
        <v>69</v>
      </c>
      <c r="B2" s="48" t="s">
        <v>1489</v>
      </c>
      <c r="C2" s="47">
        <v>2019</v>
      </c>
      <c r="D2" s="47" t="s">
        <v>803</v>
      </c>
      <c r="E2" s="47">
        <v>34.891379999999998</v>
      </c>
      <c r="F2" s="48">
        <f t="shared" ref="F2:F33" si="0">(E2-MIN(E:E))/(MAX(E:E)-MIN(E:E))</f>
        <v>0.98968954141007492</v>
      </c>
      <c r="H2" s="16" t="s">
        <v>1531</v>
      </c>
      <c r="I2" s="17">
        <v>2917</v>
      </c>
      <c r="J2" s="76">
        <f>Table24[[#This Row],[TRUMP VOTES]]/C103</f>
        <v>6.0092538801610161E-3</v>
      </c>
      <c r="K2" s="18">
        <v>0.69899999999999995</v>
      </c>
      <c r="L2" s="17">
        <v>1198</v>
      </c>
      <c r="M2" s="76">
        <f>Table24[[#This Row],[BIDEN VOTES]]/C103</f>
        <v>2.4679760536280072E-3</v>
      </c>
      <c r="N2" s="18">
        <v>0.28699999999999998</v>
      </c>
      <c r="O2" s="21">
        <f>1-(Table24[[#This Row],[Column1]]+Table24[[#This Row],[Column2]])</f>
        <v>0.99152277006621092</v>
      </c>
      <c r="Q2" t="s">
        <v>1671</v>
      </c>
      <c r="R2">
        <f>CORREL(F:F,J:J)</f>
        <v>-5.5325803519426647E-2</v>
      </c>
      <c r="S2">
        <v>0.1</v>
      </c>
    </row>
    <row r="3" spans="1:19" ht="20">
      <c r="A3" s="49" t="s">
        <v>69</v>
      </c>
      <c r="B3" s="50" t="s">
        <v>1094</v>
      </c>
      <c r="C3" s="49">
        <v>2019</v>
      </c>
      <c r="D3" s="49" t="s">
        <v>803</v>
      </c>
      <c r="E3" s="49">
        <v>26.075620000000001</v>
      </c>
      <c r="F3" s="48">
        <f t="shared" si="0"/>
        <v>0.69715139195007081</v>
      </c>
      <c r="H3" s="16" t="s">
        <v>1144</v>
      </c>
      <c r="I3" s="17">
        <v>1530</v>
      </c>
      <c r="J3" s="56">
        <f>Table24[[#This Row],[TRUMP VOTES]]/C104</f>
        <v>6.7818848320707796E-3</v>
      </c>
      <c r="K3" s="18">
        <v>0.71</v>
      </c>
      <c r="L3" s="19">
        <v>590</v>
      </c>
      <c r="M3" s="56">
        <f>Table24[[#This Row],[BIDEN VOTES]]/C104</f>
        <v>2.6152366345893858E-3</v>
      </c>
      <c r="N3" s="18">
        <v>0.27400000000000002</v>
      </c>
      <c r="O3" s="21">
        <f>1-(Table24[[#This Row],[Column1]]+Table24[[#This Row],[Column2]])</f>
        <v>0.99060287853333984</v>
      </c>
      <c r="Q3" t="s">
        <v>1672</v>
      </c>
      <c r="R3">
        <f>CORREL(F:F,M:M)</f>
        <v>-6.8792661088429921E-2</v>
      </c>
      <c r="S3">
        <v>0.1</v>
      </c>
    </row>
    <row r="4" spans="1:19" ht="20">
      <c r="A4" s="47" t="s">
        <v>69</v>
      </c>
      <c r="B4" s="48" t="s">
        <v>1490</v>
      </c>
      <c r="C4" s="47">
        <v>2019</v>
      </c>
      <c r="D4" s="47" t="s">
        <v>803</v>
      </c>
      <c r="E4" s="47">
        <v>6.5748300000000004</v>
      </c>
      <c r="F4" s="48">
        <f t="shared" si="0"/>
        <v>5.0046091940978435E-2</v>
      </c>
      <c r="H4" s="16" t="s">
        <v>1532</v>
      </c>
      <c r="I4" s="17">
        <v>4735</v>
      </c>
      <c r="J4" s="56">
        <f>Table24[[#This Row],[TRUMP VOTES]]/C105</f>
        <v>2.7379754594132E-2</v>
      </c>
      <c r="K4" s="18">
        <v>0.63900000000000001</v>
      </c>
      <c r="L4" s="17">
        <v>2576</v>
      </c>
      <c r="M4" s="56">
        <f>Table24[[#This Row],[BIDEN VOTES]]/C105</f>
        <v>1.4895511686269068E-2</v>
      </c>
      <c r="N4" s="18">
        <v>0.34699999999999998</v>
      </c>
      <c r="O4" s="21">
        <f>1-(Table24[[#This Row],[Column1]]+Table24[[#This Row],[Column2]])</f>
        <v>0.95772473371959888</v>
      </c>
      <c r="Q4" t="s">
        <v>1679</v>
      </c>
      <c r="R4">
        <f>CORREL(F:F,O:O)</f>
        <v>6.3525719004131329E-2</v>
      </c>
      <c r="S4">
        <v>0.1</v>
      </c>
    </row>
    <row r="5" spans="1:19" ht="20">
      <c r="A5" s="49" t="s">
        <v>69</v>
      </c>
      <c r="B5" s="50" t="s">
        <v>1491</v>
      </c>
      <c r="C5" s="49">
        <v>2019</v>
      </c>
      <c r="D5" s="49" t="s">
        <v>803</v>
      </c>
      <c r="E5" s="49">
        <v>15.36773</v>
      </c>
      <c r="F5" s="48">
        <f t="shared" si="0"/>
        <v>0.34182566561209371</v>
      </c>
      <c r="H5" s="16" t="s">
        <v>1533</v>
      </c>
      <c r="I5" s="17">
        <v>4512</v>
      </c>
      <c r="J5" s="56">
        <f>Table24[[#This Row],[TRUMP VOTES]]/C106</f>
        <v>2.9916655063354086E-2</v>
      </c>
      <c r="K5" s="18">
        <v>0.69399999999999995</v>
      </c>
      <c r="L5" s="17">
        <v>1891</v>
      </c>
      <c r="M5" s="56">
        <f>Table24[[#This Row],[BIDEN VOTES]]/C106</f>
        <v>1.2538208050709791E-2</v>
      </c>
      <c r="N5" s="18">
        <v>0.29099999999999998</v>
      </c>
      <c r="O5" s="21">
        <f>1-(Table24[[#This Row],[Column1]]+Table24[[#This Row],[Column2]])</f>
        <v>0.95754513688593612</v>
      </c>
    </row>
    <row r="6" spans="1:19" ht="20">
      <c r="A6" s="47" t="s">
        <v>69</v>
      </c>
      <c r="B6" s="48" t="s">
        <v>1492</v>
      </c>
      <c r="C6" s="47">
        <v>2019</v>
      </c>
      <c r="D6" s="47" t="s">
        <v>803</v>
      </c>
      <c r="E6" s="47">
        <v>20.942409999999999</v>
      </c>
      <c r="F6" s="48">
        <f t="shared" si="0"/>
        <v>0.52681329810568434</v>
      </c>
      <c r="H6" s="16" t="s">
        <v>1534</v>
      </c>
      <c r="I6" s="17">
        <v>2295</v>
      </c>
      <c r="J6" s="56">
        <f>Table24[[#This Row],[TRUMP VOTES]]/C107</f>
        <v>1.7411029261150266E-2</v>
      </c>
      <c r="K6" s="18">
        <v>0.67200000000000004</v>
      </c>
      <c r="L6" s="17">
        <v>1071</v>
      </c>
      <c r="M6" s="56">
        <f>Table24[[#This Row],[BIDEN VOTES]]/C107</f>
        <v>8.1251469885367904E-3</v>
      </c>
      <c r="N6" s="18">
        <v>0.314</v>
      </c>
      <c r="O6" s="21">
        <f>1-(Table24[[#This Row],[Column1]]+Table24[[#This Row],[Column2]])</f>
        <v>0.97446382375031293</v>
      </c>
    </row>
    <row r="7" spans="1:19" ht="20">
      <c r="A7" s="49" t="s">
        <v>69</v>
      </c>
      <c r="B7" s="50" t="s">
        <v>73</v>
      </c>
      <c r="C7" s="49">
        <v>2019</v>
      </c>
      <c r="D7" s="49" t="s">
        <v>803</v>
      </c>
      <c r="E7" s="49">
        <v>13.879709999999999</v>
      </c>
      <c r="F7" s="48">
        <f t="shared" si="0"/>
        <v>0.29244789022353096</v>
      </c>
      <c r="H7" s="16" t="s">
        <v>172</v>
      </c>
      <c r="I7" s="17">
        <v>9188</v>
      </c>
      <c r="J7" s="56">
        <f>Table24[[#This Row],[TRUMP VOTES]]/C108</f>
        <v>8.9475785639857044E-2</v>
      </c>
      <c r="K7" s="18">
        <v>0.628</v>
      </c>
      <c r="L7" s="17">
        <v>5160</v>
      </c>
      <c r="M7" s="56">
        <f>Table24[[#This Row],[BIDEN VOTES]]/C108</f>
        <v>5.0249788191299778E-2</v>
      </c>
      <c r="N7" s="18">
        <v>0.35299999999999998</v>
      </c>
      <c r="O7" s="21">
        <f>1-(Table24[[#This Row],[Column1]]+Table24[[#This Row],[Column2]])</f>
        <v>0.8602744261688432</v>
      </c>
    </row>
    <row r="8" spans="1:19" ht="20">
      <c r="A8" s="47" t="s">
        <v>69</v>
      </c>
      <c r="B8" s="48" t="s">
        <v>1493</v>
      </c>
      <c r="C8" s="47">
        <v>2019</v>
      </c>
      <c r="D8" s="47" t="s">
        <v>803</v>
      </c>
      <c r="E8" s="47">
        <v>17.918769999999999</v>
      </c>
      <c r="F8" s="48">
        <f t="shared" si="0"/>
        <v>0.42647821069027742</v>
      </c>
      <c r="H8" s="16" t="s">
        <v>1535</v>
      </c>
      <c r="I8" s="17">
        <v>29640</v>
      </c>
      <c r="J8" s="56">
        <f>Table24[[#This Row],[TRUMP VOTES]]/C109</f>
        <v>0.30445277592316777</v>
      </c>
      <c r="K8" s="18">
        <v>0.44600000000000001</v>
      </c>
      <c r="L8" s="17">
        <v>35647</v>
      </c>
      <c r="M8" s="56">
        <f>Table24[[#This Row],[BIDEN VOTES]]/C109</f>
        <v>0.36615479430948589</v>
      </c>
      <c r="N8" s="18">
        <v>0.53700000000000003</v>
      </c>
      <c r="O8" s="21">
        <f>1-(Table24[[#This Row],[Column1]]+Table24[[#This Row],[Column2]])</f>
        <v>0.32939242976734628</v>
      </c>
    </row>
    <row r="9" spans="1:19" ht="20">
      <c r="A9" s="49" t="s">
        <v>69</v>
      </c>
      <c r="B9" s="50" t="s">
        <v>859</v>
      </c>
      <c r="C9" s="49">
        <v>2019</v>
      </c>
      <c r="D9" s="49" t="s">
        <v>803</v>
      </c>
      <c r="E9" s="49">
        <v>17.819710000000001</v>
      </c>
      <c r="F9" s="48">
        <f t="shared" si="0"/>
        <v>0.42319104893842535</v>
      </c>
      <c r="H9" s="16" t="s">
        <v>827</v>
      </c>
      <c r="I9" s="17">
        <v>8695</v>
      </c>
      <c r="J9" s="56">
        <f>Table24[[#This Row],[TRUMP VOTES]]/C110</f>
        <v>8.9461175187513509E-2</v>
      </c>
      <c r="K9" s="18">
        <v>0.56799999999999995</v>
      </c>
      <c r="L9" s="17">
        <v>6303</v>
      </c>
      <c r="M9" s="56">
        <f>Table24[[#This Row],[BIDEN VOTES]]/C110</f>
        <v>6.4850349304991103E-2</v>
      </c>
      <c r="N9" s="18">
        <v>0.41199999999999998</v>
      </c>
      <c r="O9" s="21">
        <f>1-(Table24[[#This Row],[Column1]]+Table24[[#This Row],[Column2]])</f>
        <v>0.84568847550749537</v>
      </c>
    </row>
    <row r="10" spans="1:19" ht="20">
      <c r="A10" s="47" t="s">
        <v>69</v>
      </c>
      <c r="B10" s="48" t="s">
        <v>1494</v>
      </c>
      <c r="C10" s="47">
        <v>2019</v>
      </c>
      <c r="D10" s="47" t="s">
        <v>803</v>
      </c>
      <c r="E10" s="47">
        <v>10.65367</v>
      </c>
      <c r="F10" s="48">
        <f t="shared" si="0"/>
        <v>0.18539645374114583</v>
      </c>
      <c r="H10" s="16" t="s">
        <v>1536</v>
      </c>
      <c r="I10" s="17">
        <v>8294</v>
      </c>
      <c r="J10" s="56">
        <f>Table24[[#This Row],[TRUMP VOTES]]/C111</f>
        <v>8.8726759237467645E-2</v>
      </c>
      <c r="K10" s="18">
        <v>0.57099999999999995</v>
      </c>
      <c r="L10" s="17">
        <v>5958</v>
      </c>
      <c r="M10" s="56">
        <f>Table24[[#This Row],[BIDEN VOTES]]/C111</f>
        <v>6.3736922056526674E-2</v>
      </c>
      <c r="N10" s="18">
        <v>0.41</v>
      </c>
      <c r="O10" s="21">
        <f>1-(Table24[[#This Row],[Column1]]+Table24[[#This Row],[Column2]])</f>
        <v>0.84753631870600565</v>
      </c>
    </row>
    <row r="11" spans="1:19" ht="20">
      <c r="A11" s="49" t="s">
        <v>69</v>
      </c>
      <c r="B11" s="50" t="s">
        <v>1495</v>
      </c>
      <c r="C11" s="49">
        <v>2019</v>
      </c>
      <c r="D11" s="49" t="s">
        <v>803</v>
      </c>
      <c r="E11" s="49">
        <v>7.6119700000000003</v>
      </c>
      <c r="F11" s="48">
        <f t="shared" si="0"/>
        <v>8.4462071542390993E-2</v>
      </c>
      <c r="H11" s="16" t="s">
        <v>1537</v>
      </c>
      <c r="I11" s="17">
        <v>6420</v>
      </c>
      <c r="J11" s="56">
        <f>Table24[[#This Row],[TRUMP VOTES]]/C112</f>
        <v>7.1003561237806628E-2</v>
      </c>
      <c r="K11" s="18">
        <v>0.59599999999999997</v>
      </c>
      <c r="L11" s="17">
        <v>4169</v>
      </c>
      <c r="M11" s="56">
        <f>Table24[[#This Row],[BIDEN VOTES]]/C112</f>
        <v>4.6108075825609947E-2</v>
      </c>
      <c r="N11" s="18">
        <v>0.38700000000000001</v>
      </c>
      <c r="O11" s="21">
        <f>1-(Table24[[#This Row],[Column1]]+Table24[[#This Row],[Column2]])</f>
        <v>0.88288836293658346</v>
      </c>
    </row>
    <row r="12" spans="1:19" ht="20">
      <c r="A12" s="47" t="s">
        <v>69</v>
      </c>
      <c r="B12" s="48" t="s">
        <v>1496</v>
      </c>
      <c r="C12" s="47">
        <v>2019</v>
      </c>
      <c r="D12" s="47" t="s">
        <v>803</v>
      </c>
      <c r="E12" s="47">
        <v>12.321910000000001</v>
      </c>
      <c r="F12" s="48">
        <f t="shared" si="0"/>
        <v>0.24075456721691621</v>
      </c>
      <c r="H12" s="16" t="s">
        <v>1538</v>
      </c>
      <c r="I12" s="17">
        <v>5056</v>
      </c>
      <c r="J12" s="56">
        <f>Table24[[#This Row],[TRUMP VOTES]]/C113</f>
        <v>9.93964652918395E-2</v>
      </c>
      <c r="K12" s="18">
        <v>0.62</v>
      </c>
      <c r="L12" s="17">
        <v>2961</v>
      </c>
      <c r="M12" s="56">
        <f>Table24[[#This Row],[BIDEN VOTES]]/C113</f>
        <v>5.8210627715414708E-2</v>
      </c>
      <c r="N12" s="18">
        <v>0.36299999999999999</v>
      </c>
      <c r="O12" s="21">
        <f>1-(Table24[[#This Row],[Column1]]+Table24[[#This Row],[Column2]])</f>
        <v>0.84239290699274583</v>
      </c>
    </row>
    <row r="13" spans="1:19" ht="20">
      <c r="A13" s="49" t="s">
        <v>69</v>
      </c>
      <c r="B13" s="50" t="s">
        <v>893</v>
      </c>
      <c r="C13" s="49">
        <v>2019</v>
      </c>
      <c r="D13" s="49" t="s">
        <v>803</v>
      </c>
      <c r="E13" s="49">
        <v>8.5093899999999998</v>
      </c>
      <c r="F13" s="48">
        <f t="shared" si="0"/>
        <v>0.11424164654084794</v>
      </c>
      <c r="H13" s="16" t="s">
        <v>926</v>
      </c>
      <c r="I13" s="17">
        <v>5542</v>
      </c>
      <c r="J13" s="56">
        <f>Table24[[#This Row],[TRUMP VOTES]]/C114</f>
        <v>0.11858604014208071</v>
      </c>
      <c r="K13" s="18">
        <v>0.68600000000000005</v>
      </c>
      <c r="L13" s="17">
        <v>2424</v>
      </c>
      <c r="M13" s="56">
        <f>Table24[[#This Row],[BIDEN VOTES]]/C114</f>
        <v>5.1868019001155473E-2</v>
      </c>
      <c r="N13" s="18">
        <v>0.3</v>
      </c>
      <c r="O13" s="21">
        <f>1-(Table24[[#This Row],[Column1]]+Table24[[#This Row],[Column2]])</f>
        <v>0.82954594085676381</v>
      </c>
    </row>
    <row r="14" spans="1:19" ht="20">
      <c r="A14" s="47" t="s">
        <v>69</v>
      </c>
      <c r="B14" s="48" t="s">
        <v>586</v>
      </c>
      <c r="C14" s="47">
        <v>2019</v>
      </c>
      <c r="D14" s="47" t="s">
        <v>803</v>
      </c>
      <c r="E14" s="47">
        <v>22.782360000000001</v>
      </c>
      <c r="F14" s="48">
        <f t="shared" si="0"/>
        <v>0.58786935771925541</v>
      </c>
      <c r="H14" s="16" t="s">
        <v>358</v>
      </c>
      <c r="I14" s="17">
        <v>3689</v>
      </c>
      <c r="J14" s="56">
        <f>Table24[[#This Row],[TRUMP VOTES]]/C115</f>
        <v>8.6387373252464691E-2</v>
      </c>
      <c r="K14" s="18">
        <v>0.70299999999999996</v>
      </c>
      <c r="L14" s="17">
        <v>1470</v>
      </c>
      <c r="M14" s="56">
        <f>Table24[[#This Row],[BIDEN VOTES]]/C115</f>
        <v>3.442381097346791E-2</v>
      </c>
      <c r="N14" s="18">
        <v>0.28000000000000003</v>
      </c>
      <c r="O14" s="21">
        <f>1-(Table24[[#This Row],[Column1]]+Table24[[#This Row],[Column2]])</f>
        <v>0.87918881577406738</v>
      </c>
    </row>
    <row r="15" spans="1:19" ht="20">
      <c r="A15" s="49" t="s">
        <v>69</v>
      </c>
      <c r="B15" s="50" t="s">
        <v>79</v>
      </c>
      <c r="C15" s="49">
        <v>2019</v>
      </c>
      <c r="D15" s="49" t="s">
        <v>803</v>
      </c>
      <c r="E15" s="49">
        <v>18.317229999999999</v>
      </c>
      <c r="F15" s="48">
        <f t="shared" si="0"/>
        <v>0.43970052516274866</v>
      </c>
      <c r="H15" s="16" t="s">
        <v>178</v>
      </c>
      <c r="I15" s="17">
        <v>7737</v>
      </c>
      <c r="J15" s="56">
        <f>Table24[[#This Row],[TRUMP VOTES]]/C116</f>
        <v>0.18131327334083239</v>
      </c>
      <c r="K15" s="18">
        <v>0.68400000000000005</v>
      </c>
      <c r="L15" s="17">
        <v>3454</v>
      </c>
      <c r="M15" s="56">
        <f>Table24[[#This Row],[BIDEN VOTES]]/C116</f>
        <v>8.0943007124109484E-2</v>
      </c>
      <c r="N15" s="18">
        <v>0.30599999999999999</v>
      </c>
      <c r="O15" s="21">
        <f>1-(Table24[[#This Row],[Column1]]+Table24[[#This Row],[Column2]])</f>
        <v>0.73774371953505813</v>
      </c>
    </row>
    <row r="16" spans="1:19" ht="20">
      <c r="A16" s="47" t="s">
        <v>69</v>
      </c>
      <c r="B16" s="48" t="s">
        <v>591</v>
      </c>
      <c r="C16" s="47">
        <v>2019</v>
      </c>
      <c r="D16" s="47" t="s">
        <v>803</v>
      </c>
      <c r="E16" s="47">
        <v>11.35582</v>
      </c>
      <c r="F16" s="48">
        <f t="shared" si="0"/>
        <v>0.20869627833293844</v>
      </c>
      <c r="H16" s="16" t="s">
        <v>363</v>
      </c>
      <c r="I16" s="17">
        <v>4969</v>
      </c>
      <c r="J16" s="56">
        <f>Table24[[#This Row],[TRUMP VOTES]]/C117</f>
        <v>0.1248366998291629</v>
      </c>
      <c r="K16" s="18">
        <v>0.68400000000000005</v>
      </c>
      <c r="L16" s="17">
        <v>2201</v>
      </c>
      <c r="M16" s="56">
        <f>Table24[[#This Row],[BIDEN VOTES]]/C117</f>
        <v>5.5295950155763239E-2</v>
      </c>
      <c r="N16" s="18">
        <v>0.30299999999999999</v>
      </c>
      <c r="O16" s="21">
        <f>1-(Table24[[#This Row],[Column1]]+Table24[[#This Row],[Column2]])</f>
        <v>0.81986735001507383</v>
      </c>
    </row>
    <row r="17" spans="1:15" ht="20">
      <c r="A17" s="49" t="s">
        <v>69</v>
      </c>
      <c r="B17" s="50" t="s">
        <v>1497</v>
      </c>
      <c r="C17" s="49">
        <v>2019</v>
      </c>
      <c r="D17" s="49" t="s">
        <v>803</v>
      </c>
      <c r="E17" s="49">
        <v>13.16099</v>
      </c>
      <c r="F17" s="48">
        <f t="shared" si="0"/>
        <v>0.26859821432719372</v>
      </c>
      <c r="H17" s="16" t="s">
        <v>1539</v>
      </c>
      <c r="I17" s="17">
        <v>6161</v>
      </c>
      <c r="J17" s="56">
        <f>Table24[[#This Row],[TRUMP VOTES]]/C118</f>
        <v>0.15706018813572284</v>
      </c>
      <c r="K17" s="18">
        <v>0.57699999999999996</v>
      </c>
      <c r="L17" s="17">
        <v>4337</v>
      </c>
      <c r="M17" s="56">
        <f>Table24[[#This Row],[BIDEN VOTES]]/C118</f>
        <v>0.11056160297754097</v>
      </c>
      <c r="N17" s="18">
        <v>0.40600000000000003</v>
      </c>
      <c r="O17" s="21">
        <f>1-(Table24[[#This Row],[Column1]]+Table24[[#This Row],[Column2]])</f>
        <v>0.73237820888673621</v>
      </c>
    </row>
    <row r="18" spans="1:15" ht="20">
      <c r="A18" s="47" t="s">
        <v>69</v>
      </c>
      <c r="B18" s="48" t="s">
        <v>1498</v>
      </c>
      <c r="C18" s="47">
        <v>2019</v>
      </c>
      <c r="D18" s="47" t="s">
        <v>803</v>
      </c>
      <c r="E18" s="47">
        <v>24.395779999999998</v>
      </c>
      <c r="F18" s="48">
        <f t="shared" si="0"/>
        <v>0.6414083493775764</v>
      </c>
      <c r="H18" s="16" t="s">
        <v>1540</v>
      </c>
      <c r="I18" s="17">
        <v>12442</v>
      </c>
      <c r="J18" s="56">
        <f>Table24[[#This Row],[TRUMP VOTES]]/C119</f>
        <v>0.33597969323828042</v>
      </c>
      <c r="K18" s="18">
        <v>0.52400000000000002</v>
      </c>
      <c r="L18" s="17">
        <v>10941</v>
      </c>
      <c r="M18" s="56">
        <f>Table24[[#This Row],[BIDEN VOTES]]/C119</f>
        <v>0.29544718081659105</v>
      </c>
      <c r="N18" s="18">
        <v>0.46100000000000002</v>
      </c>
      <c r="O18" s="21">
        <f>1-(Table24[[#This Row],[Column1]]+Table24[[#This Row],[Column2]])</f>
        <v>0.36857312594512859</v>
      </c>
    </row>
    <row r="19" spans="1:15" ht="20">
      <c r="A19" s="49" t="s">
        <v>69</v>
      </c>
      <c r="B19" s="50" t="s">
        <v>594</v>
      </c>
      <c r="C19" s="49">
        <v>2019</v>
      </c>
      <c r="D19" s="49" t="s">
        <v>803</v>
      </c>
      <c r="E19" s="49">
        <v>24.620429999999999</v>
      </c>
      <c r="F19" s="48">
        <f t="shared" si="0"/>
        <v>0.64886303227232267</v>
      </c>
      <c r="H19" s="16" t="s">
        <v>366</v>
      </c>
      <c r="I19" s="17">
        <v>4495</v>
      </c>
      <c r="J19" s="56">
        <f>Table24[[#This Row],[TRUMP VOTES]]/C120</f>
        <v>0.12366567624078353</v>
      </c>
      <c r="K19" s="18">
        <v>0.69099999999999995</v>
      </c>
      <c r="L19" s="17">
        <v>1936</v>
      </c>
      <c r="M19" s="56">
        <f>Table24[[#This Row],[BIDEN VOTES]]/C120</f>
        <v>5.3262903048310772E-2</v>
      </c>
      <c r="N19" s="18">
        <v>0.29799999999999999</v>
      </c>
      <c r="O19" s="21">
        <f>1-(Table24[[#This Row],[Column1]]+Table24[[#This Row],[Column2]])</f>
        <v>0.82307142071090567</v>
      </c>
    </row>
    <row r="20" spans="1:15" ht="20">
      <c r="A20" s="47" t="s">
        <v>69</v>
      </c>
      <c r="B20" s="48" t="s">
        <v>1499</v>
      </c>
      <c r="C20" s="47">
        <v>2019</v>
      </c>
      <c r="D20" s="47" t="s">
        <v>803</v>
      </c>
      <c r="E20" s="47">
        <v>8.3575599999999994</v>
      </c>
      <c r="F20" s="48">
        <f t="shared" si="0"/>
        <v>0.10920338923432955</v>
      </c>
      <c r="H20" s="16" t="s">
        <v>1541</v>
      </c>
      <c r="I20" s="17">
        <v>4308</v>
      </c>
      <c r="J20" s="56">
        <f>Table24[[#This Row],[TRUMP VOTES]]/C121</f>
        <v>0.12272804968377871</v>
      </c>
      <c r="K20" s="18">
        <v>0.65100000000000002</v>
      </c>
      <c r="L20" s="17">
        <v>2233</v>
      </c>
      <c r="M20" s="56">
        <f>Table24[[#This Row],[BIDEN VOTES]]/C121</f>
        <v>6.3614608854196342E-2</v>
      </c>
      <c r="N20" s="18">
        <v>0.33700000000000002</v>
      </c>
      <c r="O20" s="21">
        <f>1-(Table24[[#This Row],[Column1]]+Table24[[#This Row],[Column2]])</f>
        <v>0.81365734146202495</v>
      </c>
    </row>
    <row r="21" spans="1:15" ht="20">
      <c r="A21" s="49" t="s">
        <v>69</v>
      </c>
      <c r="B21" s="50" t="s">
        <v>896</v>
      </c>
      <c r="C21" s="49">
        <v>2019</v>
      </c>
      <c r="D21" s="49" t="s">
        <v>803</v>
      </c>
      <c r="E21" s="49">
        <v>35.202089999999998</v>
      </c>
      <c r="F21" s="48">
        <f t="shared" si="0"/>
        <v>1</v>
      </c>
      <c r="H21" s="16" t="s">
        <v>929</v>
      </c>
      <c r="I21" s="17">
        <v>3144</v>
      </c>
      <c r="J21" s="56">
        <f>Table24[[#This Row],[TRUMP VOTES]]/C122</f>
        <v>9.0085959885386813E-2</v>
      </c>
      <c r="K21" s="18">
        <v>0.67500000000000004</v>
      </c>
      <c r="L21" s="17">
        <v>1466</v>
      </c>
      <c r="M21" s="56">
        <f>Table24[[#This Row],[BIDEN VOTES]]/C122</f>
        <v>4.200573065902579E-2</v>
      </c>
      <c r="N21" s="18">
        <v>0.315</v>
      </c>
      <c r="O21" s="21">
        <f>1-(Table24[[#This Row],[Column1]]+Table24[[#This Row],[Column2]])</f>
        <v>0.86790830945558739</v>
      </c>
    </row>
    <row r="22" spans="1:15" ht="20">
      <c r="A22" s="47" t="s">
        <v>69</v>
      </c>
      <c r="B22" s="48" t="s">
        <v>84</v>
      </c>
      <c r="C22" s="47">
        <v>2019</v>
      </c>
      <c r="D22" s="47" t="s">
        <v>803</v>
      </c>
      <c r="E22" s="47">
        <v>19.393609999999999</v>
      </c>
      <c r="F22" s="48">
        <f t="shared" si="0"/>
        <v>0.47541862698445886</v>
      </c>
      <c r="H22" s="16" t="s">
        <v>183</v>
      </c>
      <c r="I22" s="17">
        <v>6137</v>
      </c>
      <c r="J22" s="56">
        <f>Table24[[#This Row],[TRUMP VOTES]]/C123</f>
        <v>0.18078713250456607</v>
      </c>
      <c r="K22" s="18">
        <v>0.68600000000000005</v>
      </c>
      <c r="L22" s="17">
        <v>2662</v>
      </c>
      <c r="M22" s="56">
        <f>Table24[[#This Row],[BIDEN VOTES]]/C123</f>
        <v>7.8418664938431623E-2</v>
      </c>
      <c r="N22" s="18">
        <v>0.29699999999999999</v>
      </c>
      <c r="O22" s="21">
        <f>1-(Table24[[#This Row],[Column1]]+Table24[[#This Row],[Column2]])</f>
        <v>0.74079420255700223</v>
      </c>
    </row>
    <row r="23" spans="1:15" ht="20">
      <c r="A23" s="49" t="s">
        <v>69</v>
      </c>
      <c r="B23" s="50" t="s">
        <v>1231</v>
      </c>
      <c r="C23" s="49">
        <v>2019</v>
      </c>
      <c r="D23" s="49" t="s">
        <v>803</v>
      </c>
      <c r="E23" s="49">
        <v>10.11176</v>
      </c>
      <c r="F23" s="48">
        <f t="shared" si="0"/>
        <v>0.16741396005099649</v>
      </c>
      <c r="H23" s="16" t="s">
        <v>1325</v>
      </c>
      <c r="I23" s="17">
        <v>6106</v>
      </c>
      <c r="J23" s="56">
        <f>Table24[[#This Row],[TRUMP VOTES]]/C124</f>
        <v>0.18395444822703583</v>
      </c>
      <c r="K23" s="18">
        <v>0.63700000000000001</v>
      </c>
      <c r="L23" s="17">
        <v>3340</v>
      </c>
      <c r="M23" s="56">
        <f>Table24[[#This Row],[BIDEN VOTES]]/C124</f>
        <v>0.10062362546320007</v>
      </c>
      <c r="N23" s="18">
        <v>0.34899999999999998</v>
      </c>
      <c r="O23" s="21">
        <f>1-(Table24[[#This Row],[Column1]]+Table24[[#This Row],[Column2]])</f>
        <v>0.71542192630976409</v>
      </c>
    </row>
    <row r="24" spans="1:15" ht="20">
      <c r="A24" s="47" t="s">
        <v>69</v>
      </c>
      <c r="B24" s="48" t="s">
        <v>1398</v>
      </c>
      <c r="C24" s="47">
        <v>2019</v>
      </c>
      <c r="D24" s="47" t="s">
        <v>803</v>
      </c>
      <c r="E24" s="47">
        <v>24.043410000000002</v>
      </c>
      <c r="F24" s="48">
        <f t="shared" si="0"/>
        <v>0.62971546439372683</v>
      </c>
      <c r="H24" s="16" t="s">
        <v>1405</v>
      </c>
      <c r="I24" s="17">
        <v>13361</v>
      </c>
      <c r="J24" s="56">
        <f>Table24[[#This Row],[TRUMP VOTES]]/C125</f>
        <v>0.50646298472385431</v>
      </c>
      <c r="K24" s="18">
        <v>0.54200000000000004</v>
      </c>
      <c r="L24" s="17">
        <v>10812</v>
      </c>
      <c r="M24" s="56">
        <f>Table24[[#This Row],[BIDEN VOTES]]/C125</f>
        <v>0.40984041545051364</v>
      </c>
      <c r="N24" s="18">
        <v>0.439</v>
      </c>
      <c r="O24" s="21">
        <f>1-(Table24[[#This Row],[Column1]]+Table24[[#This Row],[Column2]])</f>
        <v>8.3696599825632045E-2</v>
      </c>
    </row>
    <row r="25" spans="1:15" ht="20">
      <c r="A25" s="49" t="s">
        <v>69</v>
      </c>
      <c r="B25" s="50" t="s">
        <v>1237</v>
      </c>
      <c r="C25" s="49">
        <v>2019</v>
      </c>
      <c r="D25" s="49" t="s">
        <v>803</v>
      </c>
      <c r="E25" s="49">
        <v>14.66414</v>
      </c>
      <c r="F25" s="48">
        <f t="shared" si="0"/>
        <v>0.31847805671863877</v>
      </c>
      <c r="H25" s="16" t="s">
        <v>1331</v>
      </c>
      <c r="I25" s="17">
        <v>4854</v>
      </c>
      <c r="J25" s="56">
        <f>Table24[[#This Row],[TRUMP VOTES]]/C126</f>
        <v>0.18992096408169654</v>
      </c>
      <c r="K25" s="18">
        <v>0.67900000000000005</v>
      </c>
      <c r="L25" s="17">
        <v>2220</v>
      </c>
      <c r="M25" s="56">
        <f>Table24[[#This Row],[BIDEN VOTES]]/C126</f>
        <v>8.686125674935441E-2</v>
      </c>
      <c r="N25" s="18">
        <v>0.311</v>
      </c>
      <c r="O25" s="21">
        <f>1-(Table24[[#This Row],[Column1]]+Table24[[#This Row],[Column2]])</f>
        <v>0.72321777916894903</v>
      </c>
    </row>
    <row r="26" spans="1:15" ht="20">
      <c r="A26" s="47" t="s">
        <v>69</v>
      </c>
      <c r="B26" s="48" t="s">
        <v>611</v>
      </c>
      <c r="C26" s="47">
        <v>2019</v>
      </c>
      <c r="D26" s="47" t="s">
        <v>803</v>
      </c>
      <c r="E26" s="47">
        <v>5.3829700000000003</v>
      </c>
      <c r="F26" s="48">
        <f t="shared" si="0"/>
        <v>1.049595459429469E-2</v>
      </c>
      <c r="H26" s="16" t="s">
        <v>384</v>
      </c>
      <c r="I26" s="17">
        <v>27987</v>
      </c>
      <c r="J26" s="56">
        <f>Table24[[#This Row],[TRUMP VOTES]]/C127</f>
        <v>1.1132015432958116</v>
      </c>
      <c r="K26" s="18">
        <v>0.501</v>
      </c>
      <c r="L26" s="17">
        <v>26879</v>
      </c>
      <c r="M26" s="56">
        <f>Table24[[#This Row],[BIDEN VOTES]]/C127</f>
        <v>1.0691301062010261</v>
      </c>
      <c r="N26" s="18">
        <v>0.48099999999999998</v>
      </c>
      <c r="O26" s="21">
        <f>1-(Table24[[#This Row],[Column1]]+Table24[[#This Row],[Column2]])</f>
        <v>-1.1823316494968377</v>
      </c>
    </row>
    <row r="27" spans="1:15" ht="20">
      <c r="A27" s="49" t="s">
        <v>69</v>
      </c>
      <c r="B27" s="50" t="s">
        <v>1500</v>
      </c>
      <c r="C27" s="49">
        <v>2019</v>
      </c>
      <c r="D27" s="49" t="s">
        <v>803</v>
      </c>
      <c r="E27" s="49">
        <v>11.446009999999999</v>
      </c>
      <c r="F27" s="48">
        <f t="shared" si="0"/>
        <v>0.21168910205996797</v>
      </c>
      <c r="H27" s="16" t="s">
        <v>1542</v>
      </c>
      <c r="I27" s="17">
        <v>3032</v>
      </c>
      <c r="J27" s="56">
        <f>Table24[[#This Row],[TRUMP VOTES]]/C128</f>
        <v>0.12112496005113454</v>
      </c>
      <c r="K27" s="18">
        <v>0.74</v>
      </c>
      <c r="L27" s="17">
        <v>1013</v>
      </c>
      <c r="M27" s="56">
        <f>Table24[[#This Row],[BIDEN VOTES]]/C128</f>
        <v>4.0468200703100032E-2</v>
      </c>
      <c r="N27" s="18">
        <v>0.247</v>
      </c>
      <c r="O27" s="21">
        <f>1-(Table24[[#This Row],[Column1]]+Table24[[#This Row],[Column2]])</f>
        <v>0.83840683924576542</v>
      </c>
    </row>
    <row r="28" spans="1:15" ht="20">
      <c r="A28" s="47" t="s">
        <v>69</v>
      </c>
      <c r="B28" s="48" t="s">
        <v>90</v>
      </c>
      <c r="C28" s="47">
        <v>2019</v>
      </c>
      <c r="D28" s="47" t="s">
        <v>803</v>
      </c>
      <c r="E28" s="47">
        <v>25.360230000000001</v>
      </c>
      <c r="F28" s="48">
        <f t="shared" si="0"/>
        <v>0.67341221725132761</v>
      </c>
      <c r="H28" s="16" t="s">
        <v>189</v>
      </c>
      <c r="I28" s="17">
        <v>2615</v>
      </c>
      <c r="J28" s="56">
        <f>Table24[[#This Row],[TRUMP VOTES]]/C129</f>
        <v>0.11699700237125855</v>
      </c>
      <c r="K28" s="18">
        <v>0.68799999999999994</v>
      </c>
      <c r="L28" s="17">
        <v>1120</v>
      </c>
      <c r="M28" s="56">
        <f>Table24[[#This Row],[BIDEN VOTES]]/C129</f>
        <v>5.0109614782336359E-2</v>
      </c>
      <c r="N28" s="18">
        <v>0.29499999999999998</v>
      </c>
      <c r="O28" s="21">
        <f>1-(Table24[[#This Row],[Column1]]+Table24[[#This Row],[Column2]])</f>
        <v>0.83289338284640513</v>
      </c>
    </row>
    <row r="29" spans="1:15" ht="20">
      <c r="A29" s="49" t="s">
        <v>69</v>
      </c>
      <c r="B29" s="50" t="s">
        <v>50</v>
      </c>
      <c r="C29" s="49">
        <v>2019</v>
      </c>
      <c r="D29" s="49" t="s">
        <v>803</v>
      </c>
      <c r="E29" s="49">
        <v>9.9514600000000009</v>
      </c>
      <c r="F29" s="48">
        <f t="shared" si="0"/>
        <v>0.16209463813678393</v>
      </c>
      <c r="H29" s="16" t="s">
        <v>1457</v>
      </c>
      <c r="I29" s="17">
        <v>6666</v>
      </c>
      <c r="J29" s="56">
        <f>Table24[[#This Row],[TRUMP VOTES]]/C130</f>
        <v>0.30162895927601813</v>
      </c>
      <c r="K29" s="18">
        <v>0.66800000000000004</v>
      </c>
      <c r="L29" s="17">
        <v>3157</v>
      </c>
      <c r="M29" s="56">
        <f>Table24[[#This Row],[BIDEN VOTES]]/C130</f>
        <v>0.14285067873303167</v>
      </c>
      <c r="N29" s="18">
        <v>0.316</v>
      </c>
      <c r="O29" s="21">
        <f>1-(Table24[[#This Row],[Column1]]+Table24[[#This Row],[Column2]])</f>
        <v>0.55552036199095023</v>
      </c>
    </row>
    <row r="30" spans="1:15" ht="20">
      <c r="A30" s="47" t="s">
        <v>69</v>
      </c>
      <c r="B30" s="48" t="s">
        <v>1501</v>
      </c>
      <c r="C30" s="47">
        <v>2019</v>
      </c>
      <c r="D30" s="47" t="s">
        <v>803</v>
      </c>
      <c r="E30" s="47">
        <v>23.294879999999999</v>
      </c>
      <c r="F30" s="48">
        <f t="shared" si="0"/>
        <v>0.6048765870858942</v>
      </c>
      <c r="H30" s="16" t="s">
        <v>1543</v>
      </c>
      <c r="I30" s="17">
        <v>10592</v>
      </c>
      <c r="J30" s="56">
        <f>Table24[[#This Row],[TRUMP VOTES]]/C131</f>
        <v>0.50101698122132354</v>
      </c>
      <c r="K30" s="18">
        <v>0.53200000000000003</v>
      </c>
      <c r="L30" s="17">
        <v>8893</v>
      </c>
      <c r="M30" s="56">
        <f>Table24[[#This Row],[BIDEN VOTES]]/C131</f>
        <v>0.42065181401069013</v>
      </c>
      <c r="N30" s="18">
        <v>0.44700000000000001</v>
      </c>
      <c r="O30" s="21">
        <f>1-(Table24[[#This Row],[Column1]]+Table24[[#This Row],[Column2]])</f>
        <v>7.8331204767986273E-2</v>
      </c>
    </row>
    <row r="31" spans="1:15" ht="20">
      <c r="A31" s="49" t="s">
        <v>69</v>
      </c>
      <c r="B31" s="50" t="s">
        <v>1502</v>
      </c>
      <c r="C31" s="49">
        <v>2019</v>
      </c>
      <c r="D31" s="49" t="s">
        <v>803</v>
      </c>
      <c r="E31" s="49">
        <v>16.996289999999998</v>
      </c>
      <c r="F31" s="48">
        <f t="shared" si="0"/>
        <v>0.39586705610872519</v>
      </c>
      <c r="H31" s="16" t="s">
        <v>1544</v>
      </c>
      <c r="I31" s="17">
        <v>7438</v>
      </c>
      <c r="J31" s="56">
        <f>Table24[[#This Row],[TRUMP VOTES]]/C132</f>
        <v>0.36150668286755772</v>
      </c>
      <c r="K31" s="18">
        <v>0.66200000000000003</v>
      </c>
      <c r="L31" s="17">
        <v>3661</v>
      </c>
      <c r="M31" s="56">
        <f>Table24[[#This Row],[BIDEN VOTES]]/C132</f>
        <v>0.17793438639125153</v>
      </c>
      <c r="N31" s="18">
        <v>0.32600000000000001</v>
      </c>
      <c r="O31" s="21">
        <f>1-(Table24[[#This Row],[Column1]]+Table24[[#This Row],[Column2]])</f>
        <v>0.46055893074119081</v>
      </c>
    </row>
    <row r="32" spans="1:15" ht="20">
      <c r="A32" s="47" t="s">
        <v>69</v>
      </c>
      <c r="B32" s="48" t="s">
        <v>1503</v>
      </c>
      <c r="C32" s="47">
        <v>2019</v>
      </c>
      <c r="D32" s="47" t="s">
        <v>803</v>
      </c>
      <c r="E32" s="47">
        <v>17.069769999999998</v>
      </c>
      <c r="F32" s="48">
        <f t="shared" si="0"/>
        <v>0.39830538283521516</v>
      </c>
      <c r="H32" s="16" t="s">
        <v>1545</v>
      </c>
      <c r="I32" s="17">
        <v>27214</v>
      </c>
      <c r="J32" s="56">
        <f>Table24[[#This Row],[TRUMP VOTES]]/C133</f>
        <v>1.3505707196029777</v>
      </c>
      <c r="K32" s="18">
        <v>0.50600000000000001</v>
      </c>
      <c r="L32" s="17">
        <v>25657</v>
      </c>
      <c r="M32" s="56">
        <f>Table24[[#This Row],[BIDEN VOTES]]/C133</f>
        <v>1.2733002481389579</v>
      </c>
      <c r="N32" s="18">
        <v>0.47699999999999998</v>
      </c>
      <c r="O32" s="21">
        <f>1-(Table24[[#This Row],[Column1]]+Table24[[#This Row],[Column2]])</f>
        <v>-1.6238709677419356</v>
      </c>
    </row>
    <row r="33" spans="1:15" ht="20">
      <c r="A33" s="49" t="s">
        <v>69</v>
      </c>
      <c r="B33" s="50" t="s">
        <v>1504</v>
      </c>
      <c r="C33" s="49">
        <v>2019</v>
      </c>
      <c r="D33" s="49" t="s">
        <v>803</v>
      </c>
      <c r="E33" s="49">
        <v>31.138339999999999</v>
      </c>
      <c r="F33" s="48">
        <f t="shared" si="0"/>
        <v>0.86515037786100213</v>
      </c>
      <c r="H33" s="16" t="s">
        <v>1546</v>
      </c>
      <c r="I33" s="17">
        <v>3265</v>
      </c>
      <c r="J33" s="56">
        <f>Table24[[#This Row],[TRUMP VOTES]]/C134</f>
        <v>0.16251866600298656</v>
      </c>
      <c r="K33" s="18">
        <v>0.67300000000000004</v>
      </c>
      <c r="L33" s="17">
        <v>1520</v>
      </c>
      <c r="M33" s="56">
        <f>Table24[[#This Row],[BIDEN VOTES]]/C134</f>
        <v>7.5659532105525132E-2</v>
      </c>
      <c r="N33" s="18">
        <v>0.313</v>
      </c>
      <c r="O33" s="21">
        <f>1-(Table24[[#This Row],[Column1]]+Table24[[#This Row],[Column2]])</f>
        <v>0.76182180189148829</v>
      </c>
    </row>
    <row r="34" spans="1:15" ht="20">
      <c r="A34" s="47" t="s">
        <v>69</v>
      </c>
      <c r="B34" s="48" t="s">
        <v>94</v>
      </c>
      <c r="C34" s="47">
        <v>2019</v>
      </c>
      <c r="D34" s="47" t="s">
        <v>803</v>
      </c>
      <c r="E34" s="47">
        <v>22.897079999999999</v>
      </c>
      <c r="F34" s="48">
        <f t="shared" ref="F34:F65" si="1">(E34-MIN(E:E))/(MAX(E:E)-MIN(E:E))</f>
        <v>0.59167617375168502</v>
      </c>
      <c r="H34" s="16" t="s">
        <v>193</v>
      </c>
      <c r="I34" s="17">
        <v>6145</v>
      </c>
      <c r="J34" s="56">
        <f>Table24[[#This Row],[TRUMP VOTES]]/C135</f>
        <v>0.3080200501253133</v>
      </c>
      <c r="K34" s="18">
        <v>0.60499999999999998</v>
      </c>
      <c r="L34" s="17">
        <v>3835</v>
      </c>
      <c r="M34" s="56">
        <f>Table24[[#This Row],[BIDEN VOTES]]/C135</f>
        <v>0.19223057644110275</v>
      </c>
      <c r="N34" s="18">
        <v>0.378</v>
      </c>
      <c r="O34" s="21">
        <f>1-(Table24[[#This Row],[Column1]]+Table24[[#This Row],[Column2]])</f>
        <v>0.49974937343358394</v>
      </c>
    </row>
    <row r="35" spans="1:15" ht="20">
      <c r="A35" s="49" t="s">
        <v>69</v>
      </c>
      <c r="B35" s="50" t="s">
        <v>630</v>
      </c>
      <c r="C35" s="49">
        <v>2019</v>
      </c>
      <c r="D35" s="49" t="s">
        <v>803</v>
      </c>
      <c r="E35" s="49">
        <v>16.00225</v>
      </c>
      <c r="F35" s="48">
        <f t="shared" si="1"/>
        <v>0.36288128720289947</v>
      </c>
      <c r="H35" s="16" t="s">
        <v>403</v>
      </c>
      <c r="I35" s="17">
        <v>4732</v>
      </c>
      <c r="J35" s="56">
        <f>Table24[[#This Row],[TRUMP VOTES]]/C136</f>
        <v>0.23792045854492433</v>
      </c>
      <c r="K35" s="18">
        <v>0.59</v>
      </c>
      <c r="L35" s="17">
        <v>3172</v>
      </c>
      <c r="M35" s="56">
        <f>Table24[[#This Row],[BIDEN VOTES]]/C136</f>
        <v>0.15948514254110313</v>
      </c>
      <c r="N35" s="18">
        <v>0.39600000000000002</v>
      </c>
      <c r="O35" s="21">
        <f>1-(Table24[[#This Row],[Column1]]+Table24[[#This Row],[Column2]])</f>
        <v>0.6025943989139726</v>
      </c>
    </row>
    <row r="36" spans="1:15" ht="20">
      <c r="A36" s="47" t="s">
        <v>69</v>
      </c>
      <c r="B36" s="48" t="s">
        <v>96</v>
      </c>
      <c r="C36" s="47">
        <v>2019</v>
      </c>
      <c r="D36" s="47" t="s">
        <v>803</v>
      </c>
      <c r="E36" s="47">
        <v>17.925740000000001</v>
      </c>
      <c r="F36" s="48">
        <f t="shared" si="1"/>
        <v>0.42670949998374014</v>
      </c>
      <c r="H36" s="16" t="s">
        <v>195</v>
      </c>
      <c r="I36" s="17">
        <v>3422</v>
      </c>
      <c r="J36" s="56">
        <f>Table24[[#This Row],[TRUMP VOTES]]/C137</f>
        <v>0.17455621301775148</v>
      </c>
      <c r="K36" s="18">
        <v>0.66800000000000004</v>
      </c>
      <c r="L36" s="17">
        <v>1626</v>
      </c>
      <c r="M36" s="56">
        <f>Table24[[#This Row],[BIDEN VOTES]]/C137</f>
        <v>8.2942256682309728E-2</v>
      </c>
      <c r="N36" s="18">
        <v>0.318</v>
      </c>
      <c r="O36" s="21">
        <f>1-(Table24[[#This Row],[Column1]]+Table24[[#This Row],[Column2]])</f>
        <v>0.74250153029993882</v>
      </c>
    </row>
    <row r="37" spans="1:15" ht="20">
      <c r="A37" s="49" t="s">
        <v>69</v>
      </c>
      <c r="B37" s="50" t="s">
        <v>1113</v>
      </c>
      <c r="C37" s="49">
        <v>2019</v>
      </c>
      <c r="D37" s="49" t="s">
        <v>803</v>
      </c>
      <c r="E37" s="49">
        <v>17.19577</v>
      </c>
      <c r="F37" s="48">
        <f t="shared" si="1"/>
        <v>0.40248650923066615</v>
      </c>
      <c r="H37" s="16" t="s">
        <v>1162</v>
      </c>
      <c r="I37" s="17">
        <v>2711</v>
      </c>
      <c r="J37" s="56">
        <f>Table24[[#This Row],[TRUMP VOTES]]/C138</f>
        <v>0.14011784163737853</v>
      </c>
      <c r="K37" s="18">
        <v>0.70399999999999996</v>
      </c>
      <c r="L37" s="17">
        <v>1080</v>
      </c>
      <c r="M37" s="56">
        <f>Table24[[#This Row],[BIDEN VOTES]]/C138</f>
        <v>5.5819722968782307E-2</v>
      </c>
      <c r="N37" s="18">
        <v>0.28000000000000003</v>
      </c>
      <c r="O37" s="21">
        <f>1-(Table24[[#This Row],[Column1]]+Table24[[#This Row],[Column2]])</f>
        <v>0.80406243539383915</v>
      </c>
    </row>
    <row r="38" spans="1:15" ht="20">
      <c r="A38" s="47" t="s">
        <v>69</v>
      </c>
      <c r="B38" s="48" t="s">
        <v>100</v>
      </c>
      <c r="C38" s="47">
        <v>2019</v>
      </c>
      <c r="D38" s="47" t="s">
        <v>803</v>
      </c>
      <c r="E38" s="47">
        <v>22.52693</v>
      </c>
      <c r="F38" s="48">
        <f t="shared" si="1"/>
        <v>0.57939328537647727</v>
      </c>
      <c r="H38" s="16" t="s">
        <v>199</v>
      </c>
      <c r="I38" s="17">
        <v>3223</v>
      </c>
      <c r="J38" s="56">
        <f>Table24[[#This Row],[TRUMP VOTES]]/C139</f>
        <v>0.17445196211096076</v>
      </c>
      <c r="K38" s="18">
        <v>0.63800000000000001</v>
      </c>
      <c r="L38" s="17">
        <v>1769</v>
      </c>
      <c r="M38" s="56">
        <f>Table24[[#This Row],[BIDEN VOTES]]/C139</f>
        <v>9.5751014884979696E-2</v>
      </c>
      <c r="N38" s="18">
        <v>0.35</v>
      </c>
      <c r="O38" s="21">
        <f>1-(Table24[[#This Row],[Column1]]+Table24[[#This Row],[Column2]])</f>
        <v>0.72979702300405958</v>
      </c>
    </row>
    <row r="39" spans="1:15" ht="20">
      <c r="A39" s="49" t="s">
        <v>69</v>
      </c>
      <c r="B39" s="50" t="s">
        <v>101</v>
      </c>
      <c r="C39" s="49">
        <v>2019</v>
      </c>
      <c r="D39" s="49" t="s">
        <v>803</v>
      </c>
      <c r="E39" s="49">
        <v>10.93474</v>
      </c>
      <c r="F39" s="48">
        <f t="shared" si="1"/>
        <v>0.19472335212185529</v>
      </c>
      <c r="H39" s="16" t="s">
        <v>200</v>
      </c>
      <c r="I39" s="17">
        <v>4929</v>
      </c>
      <c r="J39" s="56">
        <f>Table24[[#This Row],[TRUMP VOTES]]/C140</f>
        <v>0.2680115273775216</v>
      </c>
      <c r="K39" s="18">
        <v>0.67900000000000005</v>
      </c>
      <c r="L39" s="17">
        <v>2206</v>
      </c>
      <c r="M39" s="56">
        <f>Table24[[#This Row],[BIDEN VOTES]]/C140</f>
        <v>0.11994997553150998</v>
      </c>
      <c r="N39" s="18">
        <v>0.30399999999999999</v>
      </c>
      <c r="O39" s="21">
        <f>1-(Table24[[#This Row],[Column1]]+Table24[[#This Row],[Column2]])</f>
        <v>0.61203849709096847</v>
      </c>
    </row>
    <row r="40" spans="1:15" ht="20">
      <c r="A40" s="47" t="s">
        <v>69</v>
      </c>
      <c r="B40" s="48" t="s">
        <v>1505</v>
      </c>
      <c r="C40" s="47">
        <v>2019</v>
      </c>
      <c r="D40" s="47" t="s">
        <v>803</v>
      </c>
      <c r="E40" s="47">
        <v>12.751950000000001</v>
      </c>
      <c r="F40" s="48">
        <f t="shared" si="1"/>
        <v>0.25502481797167592</v>
      </c>
      <c r="H40" s="16" t="s">
        <v>1547</v>
      </c>
      <c r="I40" s="17">
        <v>4272</v>
      </c>
      <c r="J40" s="56">
        <f>Table24[[#This Row],[TRUMP VOTES]]/C141</f>
        <v>0.23533300280945299</v>
      </c>
      <c r="K40" s="18">
        <v>0.67100000000000004</v>
      </c>
      <c r="L40" s="17">
        <v>1985</v>
      </c>
      <c r="M40" s="56">
        <f>Table24[[#This Row],[BIDEN VOTES]]/C141</f>
        <v>0.10934831708257588</v>
      </c>
      <c r="N40" s="18">
        <v>0.312</v>
      </c>
      <c r="O40" s="21">
        <f>1-(Table24[[#This Row],[Column1]]+Table24[[#This Row],[Column2]])</f>
        <v>0.65531868010797112</v>
      </c>
    </row>
    <row r="41" spans="1:15" ht="20">
      <c r="A41" s="49" t="s">
        <v>69</v>
      </c>
      <c r="B41" s="50" t="s">
        <v>103</v>
      </c>
      <c r="C41" s="49">
        <v>2019</v>
      </c>
      <c r="D41" s="49" t="s">
        <v>803</v>
      </c>
      <c r="E41" s="49">
        <v>13.69065</v>
      </c>
      <c r="F41" s="48">
        <f t="shared" si="1"/>
        <v>0.28617420961778534</v>
      </c>
      <c r="H41" s="16" t="s">
        <v>202</v>
      </c>
      <c r="I41" s="17">
        <v>4956</v>
      </c>
      <c r="J41" s="56">
        <f>Table24[[#This Row],[TRUMP VOTES]]/C142</f>
        <v>0.28276373595024817</v>
      </c>
      <c r="K41" s="18">
        <v>0.626</v>
      </c>
      <c r="L41" s="17">
        <v>2843</v>
      </c>
      <c r="M41" s="56">
        <f>Table24[[#This Row],[BIDEN VOTES]]/C142</f>
        <v>0.16220688081246076</v>
      </c>
      <c r="N41" s="18">
        <v>0.35899999999999999</v>
      </c>
      <c r="O41" s="21">
        <f>1-(Table24[[#This Row],[Column1]]+Table24[[#This Row],[Column2]])</f>
        <v>0.55502938323729101</v>
      </c>
    </row>
    <row r="42" spans="1:15" ht="20">
      <c r="A42" s="47" t="s">
        <v>69</v>
      </c>
      <c r="B42" s="48" t="s">
        <v>104</v>
      </c>
      <c r="C42" s="47">
        <v>2019</v>
      </c>
      <c r="D42" s="47" t="s">
        <v>803</v>
      </c>
      <c r="E42" s="47">
        <v>8.3752099999999992</v>
      </c>
      <c r="F42" s="48">
        <f t="shared" si="1"/>
        <v>0.1097890787651209</v>
      </c>
      <c r="H42" s="16" t="s">
        <v>203</v>
      </c>
      <c r="I42" s="17">
        <v>4390</v>
      </c>
      <c r="J42" s="56">
        <f>Table24[[#This Row],[TRUMP VOTES]]/C143</f>
        <v>0.25434530706836617</v>
      </c>
      <c r="K42" s="18">
        <v>0.71299999999999997</v>
      </c>
      <c r="L42" s="17">
        <v>1683</v>
      </c>
      <c r="M42" s="56">
        <f>Table24[[#This Row],[BIDEN VOTES]]/C143</f>
        <v>9.7508690614136737E-2</v>
      </c>
      <c r="N42" s="18">
        <v>0.27300000000000002</v>
      </c>
      <c r="O42" s="21">
        <f>1-(Table24[[#This Row],[Column1]]+Table24[[#This Row],[Column2]])</f>
        <v>0.64814600231749708</v>
      </c>
    </row>
    <row r="43" spans="1:15" ht="20">
      <c r="A43" s="49" t="s">
        <v>69</v>
      </c>
      <c r="B43" s="50" t="s">
        <v>106</v>
      </c>
      <c r="C43" s="49">
        <v>2019</v>
      </c>
      <c r="D43" s="49" t="s">
        <v>803</v>
      </c>
      <c r="E43" s="49">
        <v>15.63372</v>
      </c>
      <c r="F43" s="48">
        <f t="shared" si="1"/>
        <v>0.35065215616706191</v>
      </c>
      <c r="H43" s="16" t="s">
        <v>205</v>
      </c>
      <c r="I43" s="17">
        <v>5850</v>
      </c>
      <c r="J43" s="56">
        <f>Table24[[#This Row],[TRUMP VOTES]]/C144</f>
        <v>0.34196527737183607</v>
      </c>
      <c r="K43" s="18">
        <v>0.65200000000000002</v>
      </c>
      <c r="L43" s="17">
        <v>2976</v>
      </c>
      <c r="M43" s="56">
        <f>Table24[[#This Row],[BIDEN VOTES]]/C144</f>
        <v>0.17396387443736483</v>
      </c>
      <c r="N43" s="18">
        <v>0.33200000000000002</v>
      </c>
      <c r="O43" s="21">
        <f>1-(Table24[[#This Row],[Column1]]+Table24[[#This Row],[Column2]])</f>
        <v>0.48407084819079915</v>
      </c>
    </row>
    <row r="44" spans="1:15" ht="20">
      <c r="A44" s="47" t="s">
        <v>69</v>
      </c>
      <c r="B44" s="48" t="s">
        <v>651</v>
      </c>
      <c r="C44" s="47">
        <v>2019</v>
      </c>
      <c r="D44" s="47" t="s">
        <v>803</v>
      </c>
      <c r="E44" s="47">
        <v>23.47128</v>
      </c>
      <c r="F44" s="48">
        <f t="shared" si="1"/>
        <v>0.61073016403952562</v>
      </c>
      <c r="H44" s="16" t="s">
        <v>424</v>
      </c>
      <c r="I44" s="17">
        <v>5569</v>
      </c>
      <c r="J44" s="56">
        <f>Table24[[#This Row],[TRUMP VOTES]]/C145</f>
        <v>0.3276267796211319</v>
      </c>
      <c r="K44" s="18">
        <v>0.68400000000000005</v>
      </c>
      <c r="L44" s="17">
        <v>2440</v>
      </c>
      <c r="M44" s="56">
        <f>Table24[[#This Row],[BIDEN VOTES]]/C145</f>
        <v>0.14354629956465467</v>
      </c>
      <c r="N44" s="18">
        <v>0.3</v>
      </c>
      <c r="O44" s="21">
        <f>1-(Table24[[#This Row],[Column1]]+Table24[[#This Row],[Column2]])</f>
        <v>0.52882692081421345</v>
      </c>
    </row>
    <row r="45" spans="1:15" ht="20">
      <c r="A45" s="49" t="s">
        <v>69</v>
      </c>
      <c r="B45" s="50" t="s">
        <v>110</v>
      </c>
      <c r="C45" s="49">
        <v>2019</v>
      </c>
      <c r="D45" s="49" t="s">
        <v>803</v>
      </c>
      <c r="E45" s="49">
        <v>24.31193</v>
      </c>
      <c r="F45" s="48">
        <f t="shared" si="1"/>
        <v>0.63862590931203234</v>
      </c>
      <c r="H45" s="16" t="s">
        <v>209</v>
      </c>
      <c r="I45" s="17">
        <v>6507</v>
      </c>
      <c r="J45" s="56">
        <f>Table24[[#This Row],[TRUMP VOTES]]/C146</f>
        <v>0.38362221436151395</v>
      </c>
      <c r="K45" s="18">
        <v>0.65300000000000002</v>
      </c>
      <c r="L45" s="17">
        <v>3275</v>
      </c>
      <c r="M45" s="56">
        <f>Table24[[#This Row],[BIDEN VOTES]]/C146</f>
        <v>0.19307864638603939</v>
      </c>
      <c r="N45" s="18">
        <v>0.32900000000000001</v>
      </c>
      <c r="O45" s="21">
        <f>1-(Table24[[#This Row],[Column1]]+Table24[[#This Row],[Column2]])</f>
        <v>0.42329913925244667</v>
      </c>
    </row>
    <row r="46" spans="1:15" ht="20">
      <c r="A46" s="47" t="s">
        <v>69</v>
      </c>
      <c r="B46" s="48" t="s">
        <v>661</v>
      </c>
      <c r="C46" s="47">
        <v>2019</v>
      </c>
      <c r="D46" s="47" t="s">
        <v>803</v>
      </c>
      <c r="E46" s="47">
        <v>10.2608</v>
      </c>
      <c r="F46" s="48">
        <f t="shared" si="1"/>
        <v>0.17235963527304415</v>
      </c>
      <c r="H46" s="16" t="s">
        <v>434</v>
      </c>
      <c r="I46" s="17">
        <v>3127</v>
      </c>
      <c r="J46" s="56">
        <f>Table24[[#This Row],[TRUMP VOTES]]/C147</f>
        <v>0.18476719451666274</v>
      </c>
      <c r="K46" s="18">
        <v>0.63100000000000001</v>
      </c>
      <c r="L46" s="17">
        <v>1772</v>
      </c>
      <c r="M46" s="56">
        <f>Table24[[#This Row],[BIDEN VOTES]]/C147</f>
        <v>0.10470337981564642</v>
      </c>
      <c r="N46" s="18">
        <v>0.35799999999999998</v>
      </c>
      <c r="O46" s="21">
        <f>1-(Table24[[#This Row],[Column1]]+Table24[[#This Row],[Column2]])</f>
        <v>0.71052942566769084</v>
      </c>
    </row>
    <row r="47" spans="1:15" ht="20">
      <c r="A47" s="49" t="s">
        <v>69</v>
      </c>
      <c r="B47" s="50" t="s">
        <v>1052</v>
      </c>
      <c r="C47" s="49">
        <v>2019</v>
      </c>
      <c r="D47" s="49" t="s">
        <v>803</v>
      </c>
      <c r="E47" s="49">
        <v>13.47104</v>
      </c>
      <c r="F47" s="48">
        <f t="shared" si="1"/>
        <v>0.27888677177885696</v>
      </c>
      <c r="H47" s="16" t="s">
        <v>998</v>
      </c>
      <c r="I47" s="17">
        <v>3819</v>
      </c>
      <c r="J47" s="56">
        <f>Table24[[#This Row],[TRUMP VOTES]]/C148</f>
        <v>0.23639740018570102</v>
      </c>
      <c r="K47" s="18">
        <v>0.71799999999999997</v>
      </c>
      <c r="L47" s="17">
        <v>1442</v>
      </c>
      <c r="M47" s="56">
        <f>Table24[[#This Row],[BIDEN VOTES]]/C148</f>
        <v>8.9260290931600123E-2</v>
      </c>
      <c r="N47" s="18">
        <v>0.27100000000000002</v>
      </c>
      <c r="O47" s="21">
        <f>1-(Table24[[#This Row],[Column1]]+Table24[[#This Row],[Column2]])</f>
        <v>0.67434230888269886</v>
      </c>
    </row>
    <row r="48" spans="1:15" ht="20">
      <c r="A48" s="47" t="s">
        <v>69</v>
      </c>
      <c r="B48" s="48" t="s">
        <v>1506</v>
      </c>
      <c r="C48" s="47">
        <v>2019</v>
      </c>
      <c r="D48" s="47" t="s">
        <v>803</v>
      </c>
      <c r="E48" s="47">
        <v>11.11797</v>
      </c>
      <c r="F48" s="48">
        <f t="shared" si="1"/>
        <v>0.20080357267295429</v>
      </c>
      <c r="H48" s="16" t="s">
        <v>1548</v>
      </c>
      <c r="I48" s="17">
        <v>2880</v>
      </c>
      <c r="J48" s="56">
        <f>Table24[[#This Row],[TRUMP VOTES]]/C149</f>
        <v>0.1783502600941293</v>
      </c>
      <c r="K48" s="18">
        <v>0.749</v>
      </c>
      <c r="L48" s="19">
        <v>917</v>
      </c>
      <c r="M48" s="56">
        <f>Table24[[#This Row],[BIDEN VOTES]]/C149</f>
        <v>5.6787218231359918E-2</v>
      </c>
      <c r="N48" s="18">
        <v>0.23899999999999999</v>
      </c>
      <c r="O48" s="21">
        <f>1-(Table24[[#This Row],[Column1]]+Table24[[#This Row],[Column2]])</f>
        <v>0.76486252167451085</v>
      </c>
    </row>
    <row r="49" spans="1:15" ht="20">
      <c r="A49" s="49" t="s">
        <v>69</v>
      </c>
      <c r="B49" s="50" t="s">
        <v>19</v>
      </c>
      <c r="C49" s="49">
        <v>2019</v>
      </c>
      <c r="D49" s="49" t="s">
        <v>803</v>
      </c>
      <c r="E49" s="49">
        <v>11.827959999999999</v>
      </c>
      <c r="F49" s="48">
        <f t="shared" si="1"/>
        <v>0.22436355624046386</v>
      </c>
      <c r="H49" s="16" t="s">
        <v>1549</v>
      </c>
      <c r="I49" s="17">
        <v>6009</v>
      </c>
      <c r="J49" s="56">
        <f>Table24[[#This Row],[TRUMP VOTES]]/C150</f>
        <v>0.37235097285909036</v>
      </c>
      <c r="K49" s="18">
        <v>0.61799999999999999</v>
      </c>
      <c r="L49" s="17">
        <v>3547</v>
      </c>
      <c r="M49" s="56">
        <f>Table24[[#This Row],[BIDEN VOTES]]/C150</f>
        <v>0.21979179576155658</v>
      </c>
      <c r="N49" s="18">
        <v>0.36499999999999999</v>
      </c>
      <c r="O49" s="21">
        <f>1-(Table24[[#This Row],[Column1]]+Table24[[#This Row],[Column2]])</f>
        <v>0.40785723137935304</v>
      </c>
    </row>
    <row r="50" spans="1:15" ht="20">
      <c r="A50" s="47" t="s">
        <v>69</v>
      </c>
      <c r="B50" s="48" t="s">
        <v>114</v>
      </c>
      <c r="C50" s="47">
        <v>2019</v>
      </c>
      <c r="D50" s="47" t="s">
        <v>803</v>
      </c>
      <c r="E50" s="47">
        <v>13.218920000000001</v>
      </c>
      <c r="F50" s="48">
        <f t="shared" si="1"/>
        <v>0.27052053696281658</v>
      </c>
      <c r="H50" s="16" t="s">
        <v>213</v>
      </c>
      <c r="I50" s="17">
        <v>6940</v>
      </c>
      <c r="J50" s="56">
        <f>Table24[[#This Row],[TRUMP VOTES]]/C151</f>
        <v>0.44167250047731177</v>
      </c>
      <c r="K50" s="18">
        <v>0.624</v>
      </c>
      <c r="L50" s="17">
        <v>4029</v>
      </c>
      <c r="M50" s="56">
        <f>Table24[[#This Row],[BIDEN VOTES]]/C151</f>
        <v>0.2564118882454019</v>
      </c>
      <c r="N50" s="18">
        <v>0.36199999999999999</v>
      </c>
      <c r="O50" s="21">
        <f>1-(Table24[[#This Row],[Column1]]+Table24[[#This Row],[Column2]])</f>
        <v>0.30191561127728628</v>
      </c>
    </row>
    <row r="51" spans="1:15" ht="20">
      <c r="A51" s="49" t="s">
        <v>69</v>
      </c>
      <c r="B51" s="50" t="s">
        <v>667</v>
      </c>
      <c r="C51" s="49">
        <v>2019</v>
      </c>
      <c r="D51" s="49" t="s">
        <v>803</v>
      </c>
      <c r="E51" s="49">
        <v>16.918430000000001</v>
      </c>
      <c r="F51" s="48">
        <f t="shared" si="1"/>
        <v>0.39328338546467917</v>
      </c>
      <c r="H51" s="16" t="s">
        <v>440</v>
      </c>
      <c r="I51" s="17">
        <v>12084</v>
      </c>
      <c r="J51" s="56">
        <f>Table24[[#This Row],[TRUMP VOTES]]/C152</f>
        <v>0.7947385728378823</v>
      </c>
      <c r="K51" s="18">
        <v>0.6</v>
      </c>
      <c r="L51" s="17">
        <v>7737</v>
      </c>
      <c r="M51" s="56">
        <f>Table24[[#This Row],[BIDEN VOTES]]/C152</f>
        <v>0.5088457744163104</v>
      </c>
      <c r="N51" s="18">
        <v>0.38400000000000001</v>
      </c>
      <c r="O51" s="21">
        <f>1-(Table24[[#This Row],[Column1]]+Table24[[#This Row],[Column2]])</f>
        <v>-0.30358434725419281</v>
      </c>
    </row>
    <row r="52" spans="1:15" ht="20">
      <c r="A52" s="47" t="s">
        <v>69</v>
      </c>
      <c r="B52" s="48" t="s">
        <v>115</v>
      </c>
      <c r="C52" s="47">
        <v>2019</v>
      </c>
      <c r="D52" s="47" t="s">
        <v>803</v>
      </c>
      <c r="E52" s="47">
        <v>32.438090000000003</v>
      </c>
      <c r="F52" s="48">
        <f t="shared" si="1"/>
        <v>0.90828068764264791</v>
      </c>
      <c r="H52" s="16" t="s">
        <v>214</v>
      </c>
      <c r="I52" s="17">
        <v>4443</v>
      </c>
      <c r="J52" s="56">
        <f>Table24[[#This Row],[TRUMP VOTES]]/C153</f>
        <v>0.29574652199960061</v>
      </c>
      <c r="K52" s="18">
        <v>0.498</v>
      </c>
      <c r="L52" s="17">
        <v>4319</v>
      </c>
      <c r="M52" s="56">
        <f>Table24[[#This Row],[BIDEN VOTES]]/C153</f>
        <v>0.28749251148239369</v>
      </c>
      <c r="N52" s="18">
        <v>0.48399999999999999</v>
      </c>
      <c r="O52" s="21">
        <f>1-(Table24[[#This Row],[Column1]]+Table24[[#This Row],[Column2]])</f>
        <v>0.41676096651800565</v>
      </c>
    </row>
    <row r="53" spans="1:15" ht="20">
      <c r="A53" s="49" t="s">
        <v>69</v>
      </c>
      <c r="B53" s="50" t="s">
        <v>116</v>
      </c>
      <c r="C53" s="49">
        <v>2019</v>
      </c>
      <c r="D53" s="49" t="s">
        <v>803</v>
      </c>
      <c r="E53" s="49">
        <v>8.1491699999999998</v>
      </c>
      <c r="F53" s="48">
        <f t="shared" si="1"/>
        <v>0.10228827074585321</v>
      </c>
      <c r="H53" s="16" t="s">
        <v>215</v>
      </c>
      <c r="I53" s="17">
        <v>22925</v>
      </c>
      <c r="J53" s="56">
        <f>Table24[[#This Row],[TRUMP VOTES]]/C154</f>
        <v>1.5380744716538075</v>
      </c>
      <c r="K53" s="18">
        <v>0.27400000000000002</v>
      </c>
      <c r="L53" s="17">
        <v>59177</v>
      </c>
      <c r="M53" s="56">
        <f>Table24[[#This Row],[BIDEN VOTES]]/C154</f>
        <v>3.9702784300570277</v>
      </c>
      <c r="N53" s="18">
        <v>0.70799999999999996</v>
      </c>
      <c r="O53" s="21">
        <f>1-(Table24[[#This Row],[Column1]]+Table24[[#This Row],[Column2]])</f>
        <v>-4.5083529017108352</v>
      </c>
    </row>
    <row r="54" spans="1:15" ht="20">
      <c r="A54" s="47" t="s">
        <v>69</v>
      </c>
      <c r="B54" s="48" t="s">
        <v>671</v>
      </c>
      <c r="C54" s="47">
        <v>2019</v>
      </c>
      <c r="D54" s="47" t="s">
        <v>803</v>
      </c>
      <c r="E54" s="47">
        <v>12.753360000000001</v>
      </c>
      <c r="F54" s="48">
        <f t="shared" si="1"/>
        <v>0.25507160676705359</v>
      </c>
      <c r="H54" s="16" t="s">
        <v>444</v>
      </c>
      <c r="I54" s="17">
        <v>6572</v>
      </c>
      <c r="J54" s="56">
        <f>Table24[[#This Row],[TRUMP VOTES]]/C155</f>
        <v>0.44214208826695373</v>
      </c>
      <c r="K54" s="18">
        <v>0.59899999999999998</v>
      </c>
      <c r="L54" s="17">
        <v>4213</v>
      </c>
      <c r="M54" s="56">
        <f>Table24[[#This Row],[BIDEN VOTES]]/C155</f>
        <v>0.28343649085037675</v>
      </c>
      <c r="N54" s="18">
        <v>0.38400000000000001</v>
      </c>
      <c r="O54" s="21">
        <f>1-(Table24[[#This Row],[Column1]]+Table24[[#This Row],[Column2]])</f>
        <v>0.27442142088266952</v>
      </c>
    </row>
    <row r="55" spans="1:15" ht="20">
      <c r="A55" s="49" t="s">
        <v>69</v>
      </c>
      <c r="B55" s="50" t="s">
        <v>1507</v>
      </c>
      <c r="C55" s="49">
        <v>2019</v>
      </c>
      <c r="D55" s="49" t="s">
        <v>803</v>
      </c>
      <c r="E55" s="49">
        <v>15.503880000000001</v>
      </c>
      <c r="F55" s="48">
        <f t="shared" si="1"/>
        <v>0.3463436049671782</v>
      </c>
      <c r="H55" s="16" t="s">
        <v>1550</v>
      </c>
      <c r="I55" s="17">
        <v>3797</v>
      </c>
      <c r="J55" s="56">
        <f>Table24[[#This Row],[TRUMP VOTES]]/C156</f>
        <v>0.26171767300799559</v>
      </c>
      <c r="K55" s="18">
        <v>0.71799999999999997</v>
      </c>
      <c r="L55" s="17">
        <v>1414</v>
      </c>
      <c r="M55" s="56">
        <f>Table24[[#This Row],[BIDEN VOTES]]/C156</f>
        <v>9.7463468431210371E-2</v>
      </c>
      <c r="N55" s="18">
        <v>0.26700000000000002</v>
      </c>
      <c r="O55" s="21">
        <f>1-(Table24[[#This Row],[Column1]]+Table24[[#This Row],[Column2]])</f>
        <v>0.64081885856079401</v>
      </c>
    </row>
    <row r="56" spans="1:15" ht="20">
      <c r="A56" s="47" t="s">
        <v>69</v>
      </c>
      <c r="B56" s="48" t="s">
        <v>1508</v>
      </c>
      <c r="C56" s="47">
        <v>2019</v>
      </c>
      <c r="D56" s="47" t="s">
        <v>803</v>
      </c>
      <c r="E56" s="47">
        <v>24.293959999999998</v>
      </c>
      <c r="F56" s="48">
        <f t="shared" si="1"/>
        <v>0.63802960104753803</v>
      </c>
      <c r="H56" s="16" t="s">
        <v>1551</v>
      </c>
      <c r="I56" s="17">
        <v>6275</v>
      </c>
      <c r="J56" s="56">
        <f>Table24[[#This Row],[TRUMP VOTES]]/C157</f>
        <v>0.44684184291105888</v>
      </c>
      <c r="K56" s="18">
        <v>0.69099999999999995</v>
      </c>
      <c r="L56" s="17">
        <v>2696</v>
      </c>
      <c r="M56" s="56">
        <f>Table24[[#This Row],[BIDEN VOTES]]/C157</f>
        <v>0.19198177027700633</v>
      </c>
      <c r="N56" s="18">
        <v>0.29699999999999999</v>
      </c>
      <c r="O56" s="21">
        <f>1-(Table24[[#This Row],[Column1]]+Table24[[#This Row],[Column2]])</f>
        <v>0.36117638681193476</v>
      </c>
    </row>
    <row r="57" spans="1:15" ht="20">
      <c r="A57" s="49" t="s">
        <v>69</v>
      </c>
      <c r="B57" s="50" t="s">
        <v>687</v>
      </c>
      <c r="C57" s="49">
        <v>2019</v>
      </c>
      <c r="D57" s="49" t="s">
        <v>803</v>
      </c>
      <c r="E57" s="49">
        <v>30.075189999999999</v>
      </c>
      <c r="F57" s="48">
        <f t="shared" si="1"/>
        <v>0.8298712943108143</v>
      </c>
      <c r="H57" s="16" t="s">
        <v>459</v>
      </c>
      <c r="I57" s="17">
        <v>9773</v>
      </c>
      <c r="J57" s="56">
        <f>Table24[[#This Row],[TRUMP VOTES]]/C158</f>
        <v>0.70839373731516386</v>
      </c>
      <c r="K57" s="18">
        <v>0.58499999999999996</v>
      </c>
      <c r="L57" s="17">
        <v>6541</v>
      </c>
      <c r="M57" s="56">
        <f>Table24[[#This Row],[BIDEN VOTES]]/C158</f>
        <v>0.4741229341838214</v>
      </c>
      <c r="N57" s="18">
        <v>0.39200000000000002</v>
      </c>
      <c r="O57" s="21">
        <f>1-(Table24[[#This Row],[Column1]]+Table24[[#This Row],[Column2]])</f>
        <v>-0.18251667149898521</v>
      </c>
    </row>
    <row r="58" spans="1:15" ht="20">
      <c r="A58" s="47" t="s">
        <v>69</v>
      </c>
      <c r="B58" s="48" t="s">
        <v>307</v>
      </c>
      <c r="C58" s="47">
        <v>2019</v>
      </c>
      <c r="D58" s="47" t="s">
        <v>803</v>
      </c>
      <c r="E58" s="47">
        <v>12.37407</v>
      </c>
      <c r="F58" s="48">
        <f t="shared" si="1"/>
        <v>0.24248542081046159</v>
      </c>
      <c r="H58" s="16" t="s">
        <v>284</v>
      </c>
      <c r="I58" s="17">
        <v>53364</v>
      </c>
      <c r="J58" s="56">
        <f>Table24[[#This Row],[TRUMP VOTES]]/C159</f>
        <v>3.8779158491388706</v>
      </c>
      <c r="K58" s="18">
        <v>0.42</v>
      </c>
      <c r="L58" s="17">
        <v>70874</v>
      </c>
      <c r="M58" s="56">
        <f>Table24[[#This Row],[BIDEN VOTES]]/C159</f>
        <v>5.1503524453164742</v>
      </c>
      <c r="N58" s="18">
        <v>0.55800000000000005</v>
      </c>
      <c r="O58" s="21">
        <f>1-(Table24[[#This Row],[Column1]]+Table24[[#This Row],[Column2]])</f>
        <v>-8.0282682944553443</v>
      </c>
    </row>
    <row r="59" spans="1:15" ht="20">
      <c r="A59" s="49" t="s">
        <v>69</v>
      </c>
      <c r="B59" s="50" t="s">
        <v>1509</v>
      </c>
      <c r="C59" s="49">
        <v>2019</v>
      </c>
      <c r="D59" s="49" t="s">
        <v>803</v>
      </c>
      <c r="E59" s="49">
        <v>28.876580000000001</v>
      </c>
      <c r="F59" s="48">
        <f t="shared" si="1"/>
        <v>0.79009716805008878</v>
      </c>
      <c r="H59" s="16" t="s">
        <v>1552</v>
      </c>
      <c r="I59" s="17">
        <v>3500</v>
      </c>
      <c r="J59" s="56">
        <f>Table24[[#This Row],[TRUMP VOTES]]/C160</f>
        <v>0.26943802925327176</v>
      </c>
      <c r="K59" s="18">
        <v>0.65700000000000003</v>
      </c>
      <c r="L59" s="17">
        <v>1726</v>
      </c>
      <c r="M59" s="56">
        <f>Table24[[#This Row],[BIDEN VOTES]]/C160</f>
        <v>0.13287143956889916</v>
      </c>
      <c r="N59" s="18">
        <v>0.32400000000000001</v>
      </c>
      <c r="O59" s="21">
        <f>1-(Table24[[#This Row],[Column1]]+Table24[[#This Row],[Column2]])</f>
        <v>0.59769053117782911</v>
      </c>
    </row>
    <row r="60" spans="1:15" ht="20">
      <c r="A60" s="47" t="s">
        <v>69</v>
      </c>
      <c r="B60" s="48" t="s">
        <v>1510</v>
      </c>
      <c r="C60" s="47">
        <v>2019</v>
      </c>
      <c r="D60" s="47" t="s">
        <v>803</v>
      </c>
      <c r="E60" s="47">
        <v>16.096579999999999</v>
      </c>
      <c r="F60" s="48">
        <f t="shared" si="1"/>
        <v>0.36601149079720807</v>
      </c>
      <c r="H60" s="16" t="s">
        <v>1553</v>
      </c>
      <c r="I60" s="17">
        <v>3287</v>
      </c>
      <c r="J60" s="56">
        <f>Table24[[#This Row],[TRUMP VOTES]]/C161</f>
        <v>0.25996520088579561</v>
      </c>
      <c r="K60" s="18">
        <v>0.71099999999999997</v>
      </c>
      <c r="L60" s="17">
        <v>1284</v>
      </c>
      <c r="M60" s="56">
        <f>Table24[[#This Row],[BIDEN VOTES]]/C161</f>
        <v>0.10155014236001265</v>
      </c>
      <c r="N60" s="18">
        <v>0.27800000000000002</v>
      </c>
      <c r="O60" s="21">
        <f>1-(Table24[[#This Row],[Column1]]+Table24[[#This Row],[Column2]])</f>
        <v>0.63848465675419175</v>
      </c>
    </row>
    <row r="61" spans="1:15" ht="20">
      <c r="A61" s="49" t="s">
        <v>69</v>
      </c>
      <c r="B61" s="50" t="s">
        <v>1511</v>
      </c>
      <c r="C61" s="49">
        <v>2019</v>
      </c>
      <c r="D61" s="49" t="s">
        <v>803</v>
      </c>
      <c r="E61" s="49">
        <v>6.0060099999999998</v>
      </c>
      <c r="F61" s="48">
        <f t="shared" si="1"/>
        <v>3.1170629113514918E-2</v>
      </c>
      <c r="H61" s="16" t="s">
        <v>1554</v>
      </c>
      <c r="I61" s="17">
        <v>5707</v>
      </c>
      <c r="J61" s="56">
        <f>Table24[[#This Row],[TRUMP VOTES]]/C162</f>
        <v>0.45795217461081689</v>
      </c>
      <c r="K61" s="18">
        <v>0.83299999999999996</v>
      </c>
      <c r="L61" s="17">
        <v>1067</v>
      </c>
      <c r="M61" s="56">
        <f>Table24[[#This Row],[BIDEN VOTES]]/C162</f>
        <v>8.5620285668432036E-2</v>
      </c>
      <c r="N61" s="18">
        <v>0.156</v>
      </c>
      <c r="O61" s="21">
        <f>1-(Table24[[#This Row],[Column1]]+Table24[[#This Row],[Column2]])</f>
        <v>0.45642753972075112</v>
      </c>
    </row>
    <row r="62" spans="1:15" ht="20">
      <c r="A62" s="47" t="s">
        <v>69</v>
      </c>
      <c r="B62" s="48" t="s">
        <v>125</v>
      </c>
      <c r="C62" s="47">
        <v>2019</v>
      </c>
      <c r="D62" s="47" t="s">
        <v>803</v>
      </c>
      <c r="E62" s="47">
        <v>12.364369999999999</v>
      </c>
      <c r="F62" s="48">
        <f t="shared" si="1"/>
        <v>0.2421635404450975</v>
      </c>
      <c r="H62" s="16" t="s">
        <v>226</v>
      </c>
      <c r="I62" s="17">
        <v>6507</v>
      </c>
      <c r="J62" s="56">
        <f>Table24[[#This Row],[TRUMP VOTES]]/C163</f>
        <v>0.52889539136795904</v>
      </c>
      <c r="K62" s="18">
        <v>0.66400000000000003</v>
      </c>
      <c r="L62" s="17">
        <v>3134</v>
      </c>
      <c r="M62" s="56">
        <f>Table24[[#This Row],[BIDEN VOTES]]/C163</f>
        <v>0.25473461757294968</v>
      </c>
      <c r="N62" s="18">
        <v>0.32</v>
      </c>
      <c r="O62" s="21">
        <f>1-(Table24[[#This Row],[Column1]]+Table24[[#This Row],[Column2]])</f>
        <v>0.21636999105909127</v>
      </c>
    </row>
    <row r="63" spans="1:15" ht="20">
      <c r="A63" s="49" t="s">
        <v>69</v>
      </c>
      <c r="B63" s="50" t="s">
        <v>1512</v>
      </c>
      <c r="C63" s="49">
        <v>2019</v>
      </c>
      <c r="D63" s="49" t="s">
        <v>803</v>
      </c>
      <c r="E63" s="49">
        <v>16.365690000000001</v>
      </c>
      <c r="F63" s="48">
        <f t="shared" si="1"/>
        <v>0.37494151400577796</v>
      </c>
      <c r="H63" s="16" t="s">
        <v>1555</v>
      </c>
      <c r="I63" s="17">
        <v>8297</v>
      </c>
      <c r="J63" s="56">
        <f>Table24[[#This Row],[TRUMP VOTES]]/C164</f>
        <v>0.67664328820747022</v>
      </c>
      <c r="K63" s="18">
        <v>0.72899999999999998</v>
      </c>
      <c r="L63" s="17">
        <v>2894</v>
      </c>
      <c r="M63" s="56">
        <f>Table24[[#This Row],[BIDEN VOTES]]/C164</f>
        <v>0.2360137008644593</v>
      </c>
      <c r="N63" s="18">
        <v>0.254</v>
      </c>
      <c r="O63" s="21">
        <f>1-(Table24[[#This Row],[Column1]]+Table24[[#This Row],[Column2]])</f>
        <v>8.7343010928070508E-2</v>
      </c>
    </row>
    <row r="64" spans="1:15" ht="20">
      <c r="A64" s="47" t="s">
        <v>69</v>
      </c>
      <c r="B64" s="48" t="s">
        <v>126</v>
      </c>
      <c r="C64" s="47">
        <v>2019</v>
      </c>
      <c r="D64" s="47" t="s">
        <v>803</v>
      </c>
      <c r="E64" s="47">
        <v>9.9431799999999999</v>
      </c>
      <c r="F64" s="48">
        <f t="shared" si="1"/>
        <v>0.1618198784022257</v>
      </c>
      <c r="H64" s="16" t="s">
        <v>227</v>
      </c>
      <c r="I64" s="17">
        <v>12663</v>
      </c>
      <c r="J64" s="56">
        <f>Table24[[#This Row],[TRUMP VOTES]]/C165</f>
        <v>1.0578947368421052</v>
      </c>
      <c r="K64" s="18">
        <v>0.66</v>
      </c>
      <c r="L64" s="17">
        <v>6178</v>
      </c>
      <c r="M64" s="56">
        <f>Table24[[#This Row],[BIDEN VOTES]]/C165</f>
        <v>0.51612364243943187</v>
      </c>
      <c r="N64" s="18">
        <v>0.32200000000000001</v>
      </c>
      <c r="O64" s="21">
        <f>1-(Table24[[#This Row],[Column1]]+Table24[[#This Row],[Column2]])</f>
        <v>-0.57401837928153698</v>
      </c>
    </row>
    <row r="65" spans="1:15" ht="20">
      <c r="A65" s="49" t="s">
        <v>69</v>
      </c>
      <c r="B65" s="50" t="s">
        <v>127</v>
      </c>
      <c r="C65" s="49">
        <v>2019</v>
      </c>
      <c r="D65" s="49" t="s">
        <v>803</v>
      </c>
      <c r="E65" s="49">
        <v>20.86645</v>
      </c>
      <c r="F65" s="48">
        <f t="shared" si="1"/>
        <v>0.52429267619299824</v>
      </c>
      <c r="H65" s="16" t="s">
        <v>228</v>
      </c>
      <c r="I65" s="17">
        <v>9571</v>
      </c>
      <c r="J65" s="56">
        <f>Table24[[#This Row],[TRUMP VOTES]]/C166</f>
        <v>0.81110169491525419</v>
      </c>
      <c r="K65" s="18">
        <v>0.52900000000000003</v>
      </c>
      <c r="L65" s="17">
        <v>8176</v>
      </c>
      <c r="M65" s="56">
        <f>Table24[[#This Row],[BIDEN VOTES]]/C166</f>
        <v>0.69288135593220335</v>
      </c>
      <c r="N65" s="18">
        <v>0.45200000000000001</v>
      </c>
      <c r="O65" s="21">
        <f>1-(Table24[[#This Row],[Column1]]+Table24[[#This Row],[Column2]])</f>
        <v>-0.50398305084745765</v>
      </c>
    </row>
    <row r="66" spans="1:15" ht="20">
      <c r="A66" s="47" t="s">
        <v>69</v>
      </c>
      <c r="B66" s="48" t="s">
        <v>708</v>
      </c>
      <c r="C66" s="47">
        <v>2019</v>
      </c>
      <c r="D66" s="47" t="s">
        <v>803</v>
      </c>
      <c r="E66" s="47">
        <v>11.676399999999999</v>
      </c>
      <c r="F66" s="48">
        <f t="shared" ref="F66:F97" si="2">(E66-MIN(E:E))/(MAX(E:E)-MIN(E:E))</f>
        <v>0.21933425849050717</v>
      </c>
      <c r="H66" s="16" t="s">
        <v>480</v>
      </c>
      <c r="I66" s="17">
        <v>5585</v>
      </c>
      <c r="J66" s="56">
        <f>Table24[[#This Row],[TRUMP VOTES]]/C167</f>
        <v>0.48380110880110883</v>
      </c>
      <c r="K66" s="18">
        <v>0.67800000000000005</v>
      </c>
      <c r="L66" s="17">
        <v>2508</v>
      </c>
      <c r="M66" s="56">
        <f>Table24[[#This Row],[BIDEN VOTES]]/C167</f>
        <v>0.21725571725571727</v>
      </c>
      <c r="N66" s="18">
        <v>0.30399999999999999</v>
      </c>
      <c r="O66" s="21">
        <f>1-(Table24[[#This Row],[Column1]]+Table24[[#This Row],[Column2]])</f>
        <v>0.29894317394317393</v>
      </c>
    </row>
    <row r="67" spans="1:15" ht="20">
      <c r="A67" s="49" t="s">
        <v>69</v>
      </c>
      <c r="B67" s="50" t="s">
        <v>709</v>
      </c>
      <c r="C67" s="49">
        <v>2019</v>
      </c>
      <c r="D67" s="49" t="s">
        <v>803</v>
      </c>
      <c r="E67" s="49">
        <v>10.064410000000001</v>
      </c>
      <c r="F67" s="48">
        <f t="shared" si="2"/>
        <v>0.16584271929842029</v>
      </c>
      <c r="H67" s="16" t="s">
        <v>481</v>
      </c>
      <c r="I67" s="17">
        <v>3677</v>
      </c>
      <c r="J67" s="56">
        <f>Table24[[#This Row],[TRUMP VOTES]]/C168</f>
        <v>0.32594628135803566</v>
      </c>
      <c r="K67" s="18">
        <v>0.63200000000000001</v>
      </c>
      <c r="L67" s="17">
        <v>2053</v>
      </c>
      <c r="M67" s="56">
        <f>Table24[[#This Row],[BIDEN VOTES]]/C168</f>
        <v>0.18198741246343408</v>
      </c>
      <c r="N67" s="18">
        <v>0.35299999999999998</v>
      </c>
      <c r="O67" s="21">
        <f>1-(Table24[[#This Row],[Column1]]+Table24[[#This Row],[Column2]])</f>
        <v>0.4920663061785302</v>
      </c>
    </row>
    <row r="68" spans="1:15" ht="20">
      <c r="A68" s="47" t="s">
        <v>69</v>
      </c>
      <c r="B68" s="48" t="s">
        <v>1513</v>
      </c>
      <c r="C68" s="47">
        <v>2019</v>
      </c>
      <c r="D68" s="47" t="s">
        <v>803</v>
      </c>
      <c r="E68" s="47">
        <v>12.31803</v>
      </c>
      <c r="F68" s="48">
        <f t="shared" si="2"/>
        <v>0.24062581507077058</v>
      </c>
      <c r="H68" s="16" t="s">
        <v>1556</v>
      </c>
      <c r="I68" s="17">
        <v>3248</v>
      </c>
      <c r="J68" s="56">
        <f>Table24[[#This Row],[TRUMP VOTES]]/C169</f>
        <v>0.2919550561797753</v>
      </c>
      <c r="K68" s="18">
        <v>0.68899999999999995</v>
      </c>
      <c r="L68" s="17">
        <v>1407</v>
      </c>
      <c r="M68" s="56">
        <f>Table24[[#This Row],[BIDEN VOTES]]/C169</f>
        <v>0.12647191011235956</v>
      </c>
      <c r="N68" s="18">
        <v>0.29799999999999999</v>
      </c>
      <c r="O68" s="21">
        <f>1-(Table24[[#This Row],[Column1]]+Table24[[#This Row],[Column2]])</f>
        <v>0.58157303370786517</v>
      </c>
    </row>
    <row r="69" spans="1:15" ht="20">
      <c r="A69" s="49" t="s">
        <v>69</v>
      </c>
      <c r="B69" s="50" t="s">
        <v>132</v>
      </c>
      <c r="C69" s="49">
        <v>2019</v>
      </c>
      <c r="D69" s="49" t="s">
        <v>803</v>
      </c>
      <c r="E69" s="49">
        <v>16.847829999999998</v>
      </c>
      <c r="F69" s="48">
        <f t="shared" si="2"/>
        <v>0.39094062734151375</v>
      </c>
      <c r="H69" s="16" t="s">
        <v>231</v>
      </c>
      <c r="I69" s="17">
        <v>2975</v>
      </c>
      <c r="J69" s="56">
        <f>Table24[[#This Row],[TRUMP VOTES]]/C170</f>
        <v>0.27780371650014007</v>
      </c>
      <c r="K69" s="18">
        <v>0.72799999999999998</v>
      </c>
      <c r="L69" s="17">
        <v>1078</v>
      </c>
      <c r="M69" s="56">
        <f>Table24[[#This Row],[BIDEN VOTES]]/C170</f>
        <v>0.10066299374358016</v>
      </c>
      <c r="N69" s="18">
        <v>0.26400000000000001</v>
      </c>
      <c r="O69" s="21">
        <f>1-(Table24[[#This Row],[Column1]]+Table24[[#This Row],[Column2]])</f>
        <v>0.62153328975627975</v>
      </c>
    </row>
    <row r="70" spans="1:15" ht="20">
      <c r="A70" s="47" t="s">
        <v>69</v>
      </c>
      <c r="B70" s="48" t="s">
        <v>133</v>
      </c>
      <c r="C70" s="47">
        <v>2019</v>
      </c>
      <c r="D70" s="47" t="s">
        <v>803</v>
      </c>
      <c r="E70" s="47">
        <v>26.075620000000001</v>
      </c>
      <c r="F70" s="48">
        <f t="shared" si="2"/>
        <v>0.69715139195007081</v>
      </c>
      <c r="H70" s="16" t="s">
        <v>232</v>
      </c>
      <c r="I70" s="17">
        <v>3659</v>
      </c>
      <c r="J70" s="56">
        <f>Table24[[#This Row],[TRUMP VOTES]]/C171</f>
        <v>0.34189871052139786</v>
      </c>
      <c r="K70" s="18">
        <v>0.68799999999999994</v>
      </c>
      <c r="L70" s="17">
        <v>1583</v>
      </c>
      <c r="M70" s="56">
        <f>Table24[[#This Row],[BIDEN VOTES]]/C171</f>
        <v>0.14791627733133994</v>
      </c>
      <c r="N70" s="18">
        <v>0.29799999999999999</v>
      </c>
      <c r="O70" s="21">
        <f>1-(Table24[[#This Row],[Column1]]+Table24[[#This Row],[Column2]])</f>
        <v>0.5101850121472622</v>
      </c>
    </row>
    <row r="71" spans="1:15" ht="20">
      <c r="A71" s="49" t="s">
        <v>69</v>
      </c>
      <c r="B71" s="50" t="s">
        <v>1514</v>
      </c>
      <c r="C71" s="49">
        <v>2019</v>
      </c>
      <c r="D71" s="49" t="s">
        <v>803</v>
      </c>
      <c r="E71" s="49">
        <v>19.90654</v>
      </c>
      <c r="F71" s="48">
        <f t="shared" si="2"/>
        <v>0.49243946160365448</v>
      </c>
      <c r="H71" s="16" t="s">
        <v>1557</v>
      </c>
      <c r="I71" s="17">
        <v>10823</v>
      </c>
      <c r="J71" s="56">
        <f>Table24[[#This Row],[TRUMP VOTES]]/C172</f>
        <v>1.0221949376652815</v>
      </c>
      <c r="K71" s="18">
        <v>0.52500000000000002</v>
      </c>
      <c r="L71" s="17">
        <v>9372</v>
      </c>
      <c r="M71" s="56">
        <f>Table24[[#This Row],[BIDEN VOTES]]/C172</f>
        <v>0.88515300340007552</v>
      </c>
      <c r="N71" s="18">
        <v>0.45400000000000001</v>
      </c>
      <c r="O71" s="21">
        <f>1-(Table24[[#This Row],[Column1]]+Table24[[#This Row],[Column2]])</f>
        <v>-0.90734794106535688</v>
      </c>
    </row>
    <row r="72" spans="1:15" ht="20">
      <c r="A72" s="47" t="s">
        <v>69</v>
      </c>
      <c r="B72" s="48" t="s">
        <v>1515</v>
      </c>
      <c r="C72" s="47">
        <v>2019</v>
      </c>
      <c r="D72" s="47" t="s">
        <v>803</v>
      </c>
      <c r="E72" s="47">
        <v>19.213170000000002</v>
      </c>
      <c r="F72" s="48">
        <f t="shared" si="2"/>
        <v>0.46943098851783061</v>
      </c>
      <c r="H72" s="16" t="s">
        <v>1558</v>
      </c>
      <c r="I72" s="17">
        <v>5861</v>
      </c>
      <c r="J72" s="56">
        <f>Table24[[#This Row],[TRUMP VOTES]]/C173</f>
        <v>0.55957609318312007</v>
      </c>
      <c r="K72" s="18">
        <v>0.77700000000000002</v>
      </c>
      <c r="L72" s="17">
        <v>1569</v>
      </c>
      <c r="M72" s="56">
        <f>Table24[[#This Row],[BIDEN VOTES]]/C173</f>
        <v>0.1497995035325568</v>
      </c>
      <c r="N72" s="18">
        <v>0.20799999999999999</v>
      </c>
      <c r="O72" s="21">
        <f>1-(Table24[[#This Row],[Column1]]+Table24[[#This Row],[Column2]])</f>
        <v>0.29062440328432315</v>
      </c>
    </row>
    <row r="73" spans="1:15" ht="20">
      <c r="A73" s="49" t="s">
        <v>69</v>
      </c>
      <c r="B73" s="50" t="s">
        <v>1516</v>
      </c>
      <c r="C73" s="49">
        <v>2019</v>
      </c>
      <c r="D73" s="49" t="s">
        <v>803</v>
      </c>
      <c r="E73" s="49">
        <v>8.4745799999999996</v>
      </c>
      <c r="F73" s="48">
        <f t="shared" si="2"/>
        <v>0.11308652741524756</v>
      </c>
      <c r="H73" s="16" t="s">
        <v>1559</v>
      </c>
      <c r="I73" s="17">
        <v>2690</v>
      </c>
      <c r="J73" s="56">
        <f>Table24[[#This Row],[TRUMP VOTES]]/C174</f>
        <v>0.26468562432352649</v>
      </c>
      <c r="K73" s="18">
        <v>0.81</v>
      </c>
      <c r="L73" s="19">
        <v>601</v>
      </c>
      <c r="M73" s="56">
        <f>Table24[[#This Row],[BIDEN VOTES]]/C174</f>
        <v>5.913608186559087E-2</v>
      </c>
      <c r="N73" s="18">
        <v>0.18099999999999999</v>
      </c>
      <c r="O73" s="21">
        <f>1-(Table24[[#This Row],[Column1]]+Table24[[#This Row],[Column2]])</f>
        <v>0.67617829381088268</v>
      </c>
    </row>
    <row r="74" spans="1:15" ht="20">
      <c r="A74" s="47" t="s">
        <v>69</v>
      </c>
      <c r="B74" s="48" t="s">
        <v>1517</v>
      </c>
      <c r="C74" s="47">
        <v>2019</v>
      </c>
      <c r="D74" s="47" t="s">
        <v>803</v>
      </c>
      <c r="E74" s="47">
        <v>18.71921</v>
      </c>
      <c r="F74" s="48">
        <f t="shared" si="2"/>
        <v>0.45303964570595007</v>
      </c>
      <c r="H74" s="16" t="s">
        <v>1560</v>
      </c>
      <c r="I74" s="17">
        <v>5319</v>
      </c>
      <c r="J74" s="56">
        <f>Table24[[#This Row],[TRUMP VOTES]]/C175</f>
        <v>0.52710335942919428</v>
      </c>
      <c r="K74" s="18">
        <v>0.70699999999999996</v>
      </c>
      <c r="L74" s="17">
        <v>2086</v>
      </c>
      <c r="M74" s="56">
        <f>Table24[[#This Row],[BIDEN VOTES]]/C175</f>
        <v>0.20671885838866316</v>
      </c>
      <c r="N74" s="18">
        <v>0.27700000000000002</v>
      </c>
      <c r="O74" s="21">
        <f>1-(Table24[[#This Row],[Column1]]+Table24[[#This Row],[Column2]])</f>
        <v>0.2661777821821425</v>
      </c>
    </row>
    <row r="75" spans="1:15" ht="20">
      <c r="A75" s="49" t="s">
        <v>69</v>
      </c>
      <c r="B75" s="50" t="s">
        <v>1518</v>
      </c>
      <c r="C75" s="49">
        <v>2019</v>
      </c>
      <c r="D75" s="49" t="s">
        <v>803</v>
      </c>
      <c r="E75" s="49">
        <v>17.84038</v>
      </c>
      <c r="F75" s="48">
        <f t="shared" si="2"/>
        <v>0.42387695276853621</v>
      </c>
      <c r="H75" s="16" t="s">
        <v>1561</v>
      </c>
      <c r="I75" s="17">
        <v>3370</v>
      </c>
      <c r="J75" s="56">
        <f>Table24[[#This Row],[TRUMP VOTES]]/C176</f>
        <v>0.33646166134185301</v>
      </c>
      <c r="K75" s="18">
        <v>0.68100000000000005</v>
      </c>
      <c r="L75" s="17">
        <v>1519</v>
      </c>
      <c r="M75" s="56">
        <f>Table24[[#This Row],[BIDEN VOTES]]/C176</f>
        <v>0.15165734824281149</v>
      </c>
      <c r="N75" s="18">
        <v>0.307</v>
      </c>
      <c r="O75" s="21">
        <f>1-(Table24[[#This Row],[Column1]]+Table24[[#This Row],[Column2]])</f>
        <v>0.51188099041533552</v>
      </c>
    </row>
    <row r="76" spans="1:15" ht="20">
      <c r="A76" s="47" t="s">
        <v>69</v>
      </c>
      <c r="B76" s="48" t="s">
        <v>1519</v>
      </c>
      <c r="C76" s="47">
        <v>2019</v>
      </c>
      <c r="D76" s="47" t="s">
        <v>803</v>
      </c>
      <c r="E76" s="47">
        <v>13.263019999999999</v>
      </c>
      <c r="F76" s="48">
        <f t="shared" si="2"/>
        <v>0.27198393120122433</v>
      </c>
      <c r="H76" s="16" t="s">
        <v>1562</v>
      </c>
      <c r="I76" s="17">
        <v>10492</v>
      </c>
      <c r="J76" s="56">
        <f>Table24[[#This Row],[TRUMP VOTES]]/C177</f>
        <v>1.0804242611471526</v>
      </c>
      <c r="K76" s="18">
        <v>0.74099999999999999</v>
      </c>
      <c r="L76" s="17">
        <v>3494</v>
      </c>
      <c r="M76" s="56">
        <f>Table24[[#This Row],[BIDEN VOTES]]/C177</f>
        <v>0.35979816702708267</v>
      </c>
      <c r="N76" s="18">
        <v>0.247</v>
      </c>
      <c r="O76" s="21">
        <f>1-(Table24[[#This Row],[Column1]]+Table24[[#This Row],[Column2]])</f>
        <v>-0.44022242817423529</v>
      </c>
    </row>
    <row r="77" spans="1:15" ht="20">
      <c r="A77" s="49" t="s">
        <v>69</v>
      </c>
      <c r="B77" s="50" t="s">
        <v>877</v>
      </c>
      <c r="C77" s="49">
        <v>2019</v>
      </c>
      <c r="D77" s="49" t="s">
        <v>803</v>
      </c>
      <c r="E77" s="49">
        <v>24.57338</v>
      </c>
      <c r="F77" s="48">
        <f t="shared" si="2"/>
        <v>0.64730174658259287</v>
      </c>
      <c r="H77" s="16" t="s">
        <v>846</v>
      </c>
      <c r="I77" s="17">
        <v>2826</v>
      </c>
      <c r="J77" s="56">
        <f>Table24[[#This Row],[TRUMP VOTES]]/C178</f>
        <v>0.29266777133388566</v>
      </c>
      <c r="K77" s="18">
        <v>0.74</v>
      </c>
      <c r="L77" s="19">
        <v>933</v>
      </c>
      <c r="M77" s="56">
        <f>Table24[[#This Row],[BIDEN VOTES]]/C178</f>
        <v>9.6623860811930404E-2</v>
      </c>
      <c r="N77" s="18">
        <v>0.24399999999999999</v>
      </c>
      <c r="O77" s="21">
        <f>1-(Table24[[#This Row],[Column1]]+Table24[[#This Row],[Column2]])</f>
        <v>0.61070836785418392</v>
      </c>
    </row>
    <row r="78" spans="1:15" ht="20">
      <c r="A78" s="47" t="s">
        <v>69</v>
      </c>
      <c r="B78" s="48" t="s">
        <v>140</v>
      </c>
      <c r="C78" s="47">
        <v>2019</v>
      </c>
      <c r="D78" s="47" t="s">
        <v>803</v>
      </c>
      <c r="E78" s="47">
        <v>14.228730000000001</v>
      </c>
      <c r="F78" s="48">
        <f t="shared" si="2"/>
        <v>0.30402961033893011</v>
      </c>
      <c r="H78" s="16" t="s">
        <v>239</v>
      </c>
      <c r="I78" s="17">
        <v>106800</v>
      </c>
      <c r="J78" s="56">
        <f>Table24[[#This Row],[TRUMP VOTES]]/C179</f>
        <v>11.220844715276318</v>
      </c>
      <c r="K78" s="18">
        <v>0.41399999999999998</v>
      </c>
      <c r="L78" s="17">
        <v>146250</v>
      </c>
      <c r="M78" s="56">
        <f>Table24[[#This Row],[BIDEN VOTES]]/C179</f>
        <v>15.365623030048329</v>
      </c>
      <c r="N78" s="18">
        <v>0.56699999999999995</v>
      </c>
      <c r="O78" s="21">
        <f>1-(Table24[[#This Row],[Column1]]+Table24[[#This Row],[Column2]])</f>
        <v>-25.586467745324647</v>
      </c>
    </row>
    <row r="79" spans="1:15" ht="20">
      <c r="A79" s="49" t="s">
        <v>69</v>
      </c>
      <c r="B79" s="50" t="s">
        <v>1520</v>
      </c>
      <c r="C79" s="49">
        <v>2019</v>
      </c>
      <c r="D79" s="49" t="s">
        <v>803</v>
      </c>
      <c r="E79" s="49">
        <v>19.871770000000001</v>
      </c>
      <c r="F79" s="48">
        <f t="shared" si="2"/>
        <v>0.49128566981976701</v>
      </c>
      <c r="H79" s="16" t="s">
        <v>1563</v>
      </c>
      <c r="I79" s="17">
        <v>26247</v>
      </c>
      <c r="J79" s="56">
        <f>Table24[[#This Row],[TRUMP VOTES]]/C180</f>
        <v>2.7972929766599171</v>
      </c>
      <c r="K79" s="18">
        <v>0.57499999999999996</v>
      </c>
      <c r="L79" s="17">
        <v>18575</v>
      </c>
      <c r="M79" s="56">
        <f>Table24[[#This Row],[BIDEN VOTES]]/C180</f>
        <v>1.9796440370883512</v>
      </c>
      <c r="N79" s="18">
        <v>0.40699999999999997</v>
      </c>
      <c r="O79" s="21">
        <f>1-(Table24[[#This Row],[Column1]]+Table24[[#This Row],[Column2]])</f>
        <v>-3.7769370137482685</v>
      </c>
    </row>
    <row r="80" spans="1:15" ht="20">
      <c r="A80" s="47" t="s">
        <v>69</v>
      </c>
      <c r="B80" s="48" t="s">
        <v>1521</v>
      </c>
      <c r="C80" s="47">
        <v>2019</v>
      </c>
      <c r="D80" s="47" t="s">
        <v>803</v>
      </c>
      <c r="E80" s="47">
        <v>15.850949999999999</v>
      </c>
      <c r="F80" s="48">
        <f t="shared" si="2"/>
        <v>0.35786061717407625</v>
      </c>
      <c r="H80" s="16" t="s">
        <v>1564</v>
      </c>
      <c r="I80" s="17">
        <v>5657</v>
      </c>
      <c r="J80" s="56">
        <f>Table24[[#This Row],[TRUMP VOTES]]/C181</f>
        <v>0.60684402488736322</v>
      </c>
      <c r="K80" s="18">
        <v>0.55900000000000005</v>
      </c>
      <c r="L80" s="17">
        <v>4306</v>
      </c>
      <c r="M80" s="56">
        <f>Table24[[#This Row],[BIDEN VOTES]]/C181</f>
        <v>0.46191804333833941</v>
      </c>
      <c r="N80" s="18">
        <v>0.42499999999999999</v>
      </c>
      <c r="O80" s="21">
        <f>1-(Table24[[#This Row],[Column1]]+Table24[[#This Row],[Column2]])</f>
        <v>-6.8762068225702633E-2</v>
      </c>
    </row>
    <row r="81" spans="1:15" ht="20">
      <c r="A81" s="49" t="s">
        <v>69</v>
      </c>
      <c r="B81" s="50" t="s">
        <v>1522</v>
      </c>
      <c r="C81" s="49">
        <v>2019</v>
      </c>
      <c r="D81" s="49" t="s">
        <v>803</v>
      </c>
      <c r="E81" s="49">
        <v>15.025040000000001</v>
      </c>
      <c r="F81" s="48">
        <f t="shared" si="2"/>
        <v>0.33045399732275182</v>
      </c>
      <c r="H81" s="16" t="s">
        <v>1565</v>
      </c>
      <c r="I81" s="17">
        <v>1968</v>
      </c>
      <c r="J81" s="56">
        <f>Table24[[#This Row],[TRUMP VOTES]]/C182</f>
        <v>0.21388979458754484</v>
      </c>
      <c r="K81" s="18">
        <v>0.72699999999999998</v>
      </c>
      <c r="L81" s="19">
        <v>709</v>
      </c>
      <c r="M81" s="56">
        <f>Table24[[#This Row],[BIDEN VOTES]]/C182</f>
        <v>7.7056841647646993E-2</v>
      </c>
      <c r="N81" s="18">
        <v>0.26200000000000001</v>
      </c>
      <c r="O81" s="21">
        <f>1-(Table24[[#This Row],[Column1]]+Table24[[#This Row],[Column2]])</f>
        <v>0.70905336376480821</v>
      </c>
    </row>
    <row r="82" spans="1:15" ht="20">
      <c r="A82" s="47" t="s">
        <v>69</v>
      </c>
      <c r="B82" s="48" t="s">
        <v>1523</v>
      </c>
      <c r="C82" s="47">
        <v>2019</v>
      </c>
      <c r="D82" s="47" t="s">
        <v>803</v>
      </c>
      <c r="E82" s="47">
        <v>15.53931</v>
      </c>
      <c r="F82" s="48">
        <f t="shared" si="2"/>
        <v>0.34751929788932762</v>
      </c>
      <c r="H82" s="16" t="s">
        <v>1566</v>
      </c>
      <c r="I82" s="17">
        <v>4061</v>
      </c>
      <c r="J82" s="56">
        <f>Table24[[#This Row],[TRUMP VOTES]]/C183</f>
        <v>0.4523783001002562</v>
      </c>
      <c r="K82" s="18">
        <v>0.73499999999999999</v>
      </c>
      <c r="L82" s="17">
        <v>1389</v>
      </c>
      <c r="M82" s="56">
        <f>Table24[[#This Row],[BIDEN VOTES]]/C183</f>
        <v>0.15472875125320262</v>
      </c>
      <c r="N82" s="18">
        <v>0.251</v>
      </c>
      <c r="O82" s="21">
        <f>1-(Table24[[#This Row],[Column1]]+Table24[[#This Row],[Column2]])</f>
        <v>0.39289294864654112</v>
      </c>
    </row>
    <row r="83" spans="1:15" ht="20">
      <c r="A83" s="49" t="s">
        <v>69</v>
      </c>
      <c r="B83" s="50" t="s">
        <v>146</v>
      </c>
      <c r="C83" s="49">
        <v>2019</v>
      </c>
      <c r="D83" s="49" t="s">
        <v>803</v>
      </c>
      <c r="E83" s="49">
        <v>17.255210000000002</v>
      </c>
      <c r="F83" s="48">
        <f t="shared" si="2"/>
        <v>0.40445893901594876</v>
      </c>
      <c r="H83" s="16" t="s">
        <v>245</v>
      </c>
      <c r="I83" s="17">
        <v>43683</v>
      </c>
      <c r="J83" s="56">
        <f>Table24[[#This Row],[TRUMP VOTES]]/C184</f>
        <v>4.8856951124035346</v>
      </c>
      <c r="K83" s="18">
        <v>0.47299999999999998</v>
      </c>
      <c r="L83" s="17">
        <v>46926</v>
      </c>
      <c r="M83" s="56">
        <f>Table24[[#This Row],[BIDEN VOTES]]/C184</f>
        <v>5.2484062185437867</v>
      </c>
      <c r="N83" s="18">
        <v>0.50800000000000001</v>
      </c>
      <c r="O83" s="21">
        <f>1-(Table24[[#This Row],[Column1]]+Table24[[#This Row],[Column2]])</f>
        <v>-9.1341013309473205</v>
      </c>
    </row>
    <row r="84" spans="1:15" ht="20">
      <c r="A84" s="47" t="s">
        <v>69</v>
      </c>
      <c r="B84" s="48" t="s">
        <v>149</v>
      </c>
      <c r="C84" s="47">
        <v>2019</v>
      </c>
      <c r="D84" s="47" t="s">
        <v>803</v>
      </c>
      <c r="E84" s="47">
        <v>6.9578699999999998</v>
      </c>
      <c r="F84" s="48">
        <f t="shared" si="2"/>
        <v>6.2756716183149264E-2</v>
      </c>
      <c r="H84" s="16" t="s">
        <v>264</v>
      </c>
      <c r="I84" s="17">
        <v>4697</v>
      </c>
      <c r="J84" s="56">
        <f>Table24[[#This Row],[TRUMP VOTES]]/C185</f>
        <v>0.52639246890059399</v>
      </c>
      <c r="K84" s="18">
        <v>0.69299999999999995</v>
      </c>
      <c r="L84" s="17">
        <v>1959</v>
      </c>
      <c r="M84" s="56">
        <f>Table24[[#This Row],[BIDEN VOTES]]/C185</f>
        <v>0.2195449960775524</v>
      </c>
      <c r="N84" s="18">
        <v>0.28899999999999998</v>
      </c>
      <c r="O84" s="21">
        <f>1-(Table24[[#This Row],[Column1]]+Table24[[#This Row],[Column2]])</f>
        <v>0.25406253502185361</v>
      </c>
    </row>
    <row r="85" spans="1:15" ht="20">
      <c r="A85" s="49" t="s">
        <v>69</v>
      </c>
      <c r="B85" s="50" t="s">
        <v>1524</v>
      </c>
      <c r="C85" s="49">
        <v>2019</v>
      </c>
      <c r="D85" s="49" t="s">
        <v>803</v>
      </c>
      <c r="E85" s="49">
        <v>6.5733699999999997</v>
      </c>
      <c r="F85" s="48">
        <f t="shared" si="2"/>
        <v>4.9997643968459696E-2</v>
      </c>
      <c r="H85" s="16" t="s">
        <v>1567</v>
      </c>
      <c r="I85" s="17">
        <v>15680</v>
      </c>
      <c r="J85" s="56">
        <f>Table24[[#This Row],[TRUMP VOTES]]/C186</f>
        <v>1.8074927953890489</v>
      </c>
      <c r="K85" s="18">
        <v>0.82699999999999996</v>
      </c>
      <c r="L85" s="17">
        <v>3019</v>
      </c>
      <c r="M85" s="56">
        <f>Table24[[#This Row],[BIDEN VOTES]]/C186</f>
        <v>0.34801152737752161</v>
      </c>
      <c r="N85" s="18">
        <v>0.159</v>
      </c>
      <c r="O85" s="21">
        <f>1-(Table24[[#This Row],[Column1]]+Table24[[#This Row],[Column2]])</f>
        <v>-1.1555043227665704</v>
      </c>
    </row>
    <row r="86" spans="1:15" ht="20">
      <c r="A86" s="47" t="s">
        <v>69</v>
      </c>
      <c r="B86" s="48" t="s">
        <v>1525</v>
      </c>
      <c r="C86" s="47">
        <v>2019</v>
      </c>
      <c r="D86" s="47" t="s">
        <v>803</v>
      </c>
      <c r="E86" s="47">
        <v>13.971679999999999</v>
      </c>
      <c r="F86" s="48">
        <f t="shared" si="2"/>
        <v>0.29549978065678195</v>
      </c>
      <c r="H86" s="16" t="s">
        <v>1568</v>
      </c>
      <c r="I86" s="17">
        <v>20340</v>
      </c>
      <c r="J86" s="56">
        <f>Table24[[#This Row],[TRUMP VOTES]]/C187</f>
        <v>2.3772791023842919</v>
      </c>
      <c r="K86" s="18">
        <v>0.4</v>
      </c>
      <c r="L86" s="17">
        <v>29175</v>
      </c>
      <c r="M86" s="56">
        <f>Table24[[#This Row],[BIDEN VOTES]]/C187</f>
        <v>3.4098877980364657</v>
      </c>
      <c r="N86" s="18">
        <v>0.57399999999999995</v>
      </c>
      <c r="O86" s="21">
        <f>1-(Table24[[#This Row],[Column1]]+Table24[[#This Row],[Column2]])</f>
        <v>-4.7871669004207575</v>
      </c>
    </row>
    <row r="87" spans="1:15" ht="20">
      <c r="A87" s="49" t="s">
        <v>69</v>
      </c>
      <c r="B87" s="50" t="s">
        <v>1526</v>
      </c>
      <c r="C87" s="49">
        <v>2019</v>
      </c>
      <c r="D87" s="49" t="s">
        <v>803</v>
      </c>
      <c r="E87" s="49">
        <v>26.85547</v>
      </c>
      <c r="F87" s="48">
        <f t="shared" si="2"/>
        <v>0.7230295778190583</v>
      </c>
      <c r="H87" s="16" t="s">
        <v>1569</v>
      </c>
      <c r="I87" s="17">
        <v>5303</v>
      </c>
      <c r="J87" s="56">
        <f>Table24[[#This Row],[TRUMP VOTES]]/C188</f>
        <v>0.6705867475973698</v>
      </c>
      <c r="K87" s="18">
        <v>0.58799999999999997</v>
      </c>
      <c r="L87" s="17">
        <v>3577</v>
      </c>
      <c r="M87" s="56">
        <f>Table24[[#This Row],[BIDEN VOTES]]/C188</f>
        <v>0.45232675771370762</v>
      </c>
      <c r="N87" s="18">
        <v>0.39600000000000002</v>
      </c>
      <c r="O87" s="21">
        <f>1-(Table24[[#This Row],[Column1]]+Table24[[#This Row],[Column2]])</f>
        <v>-0.12291350531107748</v>
      </c>
    </row>
    <row r="88" spans="1:15" ht="20">
      <c r="A88" s="47" t="s">
        <v>69</v>
      </c>
      <c r="B88" s="48" t="s">
        <v>755</v>
      </c>
      <c r="C88" s="47">
        <v>2019</v>
      </c>
      <c r="D88" s="47" t="s">
        <v>803</v>
      </c>
      <c r="E88" s="47">
        <v>17.421600000000002</v>
      </c>
      <c r="F88" s="48">
        <f t="shared" si="2"/>
        <v>0.40998034870594147</v>
      </c>
      <c r="H88" s="16" t="s">
        <v>526</v>
      </c>
      <c r="I88" s="17">
        <v>2463</v>
      </c>
      <c r="J88" s="56">
        <f>Table24[[#This Row],[TRUMP VOTES]]/C189</f>
        <v>0.31735601082334752</v>
      </c>
      <c r="K88" s="18">
        <v>0.76</v>
      </c>
      <c r="L88" s="19">
        <v>746</v>
      </c>
      <c r="M88" s="56">
        <f>Table24[[#This Row],[BIDEN VOTES]]/C189</f>
        <v>9.6121633810076018E-2</v>
      </c>
      <c r="N88" s="18">
        <v>0.23</v>
      </c>
      <c r="O88" s="21">
        <f>1-(Table24[[#This Row],[Column1]]+Table24[[#This Row],[Column2]])</f>
        <v>0.58652235536657649</v>
      </c>
    </row>
    <row r="89" spans="1:15" ht="20">
      <c r="A89" s="49" t="s">
        <v>69</v>
      </c>
      <c r="B89" s="50" t="s">
        <v>157</v>
      </c>
      <c r="C89" s="49">
        <v>2019</v>
      </c>
      <c r="D89" s="49" t="s">
        <v>803</v>
      </c>
      <c r="E89" s="49">
        <v>28.10811</v>
      </c>
      <c r="F89" s="48">
        <f t="shared" si="2"/>
        <v>0.76459661089840469</v>
      </c>
      <c r="H89" s="16" t="s">
        <v>255</v>
      </c>
      <c r="I89" s="17">
        <v>4010</v>
      </c>
      <c r="J89" s="56">
        <f>Table24[[#This Row],[TRUMP VOTES]]/C190</f>
        <v>0.54028563729452983</v>
      </c>
      <c r="K89" s="18">
        <v>0.65</v>
      </c>
      <c r="L89" s="17">
        <v>2061</v>
      </c>
      <c r="M89" s="56">
        <f>Table24[[#This Row],[BIDEN VOTES]]/C190</f>
        <v>0.27768795472918351</v>
      </c>
      <c r="N89" s="18">
        <v>0.33400000000000002</v>
      </c>
      <c r="O89" s="21">
        <f>1-(Table24[[#This Row],[Column1]]+Table24[[#This Row],[Column2]])</f>
        <v>0.18202640797628666</v>
      </c>
    </row>
    <row r="90" spans="1:15" ht="20">
      <c r="A90" s="47" t="s">
        <v>69</v>
      </c>
      <c r="B90" s="48" t="s">
        <v>158</v>
      </c>
      <c r="C90" s="47">
        <v>2019</v>
      </c>
      <c r="D90" s="47" t="s">
        <v>803</v>
      </c>
      <c r="E90" s="47">
        <v>16.177350000000001</v>
      </c>
      <c r="F90" s="48">
        <f t="shared" si="2"/>
        <v>0.36869172555086344</v>
      </c>
      <c r="H90" s="16" t="s">
        <v>256</v>
      </c>
      <c r="I90" s="17">
        <v>2859</v>
      </c>
      <c r="J90" s="56">
        <f>Table24[[#This Row],[TRUMP VOTES]]/C191</f>
        <v>0.40244932432432434</v>
      </c>
      <c r="K90" s="18">
        <v>0.75600000000000001</v>
      </c>
      <c r="L90" s="19">
        <v>875</v>
      </c>
      <c r="M90" s="56">
        <f>Table24[[#This Row],[BIDEN VOTES]]/C191</f>
        <v>0.12317004504504504</v>
      </c>
      <c r="N90" s="18">
        <v>0.23100000000000001</v>
      </c>
      <c r="O90" s="21">
        <f>1-(Table24[[#This Row],[Column1]]+Table24[[#This Row],[Column2]])</f>
        <v>0.47438063063063063</v>
      </c>
    </row>
    <row r="91" spans="1:15" ht="20">
      <c r="A91" s="49" t="s">
        <v>69</v>
      </c>
      <c r="B91" s="50" t="s">
        <v>1527</v>
      </c>
      <c r="C91" s="49">
        <v>2019</v>
      </c>
      <c r="D91" s="49" t="s">
        <v>803</v>
      </c>
      <c r="E91" s="49">
        <v>23.16264</v>
      </c>
      <c r="F91" s="48">
        <f t="shared" si="2"/>
        <v>0.60048839538324017</v>
      </c>
      <c r="H91" s="16" t="s">
        <v>1570</v>
      </c>
      <c r="I91" s="17">
        <v>9516</v>
      </c>
      <c r="J91" s="56">
        <f>Table24[[#This Row],[TRUMP VOTES]]/C192</f>
        <v>1.3501702610669692</v>
      </c>
      <c r="K91" s="18">
        <v>0.60899999999999999</v>
      </c>
      <c r="L91" s="17">
        <v>5821</v>
      </c>
      <c r="M91" s="56">
        <f>Table24[[#This Row],[BIDEN VOTES]]/C192</f>
        <v>0.82590805902383657</v>
      </c>
      <c r="N91" s="18">
        <v>0.373</v>
      </c>
      <c r="O91" s="21">
        <f>1-(Table24[[#This Row],[Column1]]+Table24[[#This Row],[Column2]])</f>
        <v>-1.1760783200908058</v>
      </c>
    </row>
    <row r="92" spans="1:15" ht="20">
      <c r="A92" s="47" t="s">
        <v>69</v>
      </c>
      <c r="B92" s="48" t="s">
        <v>159</v>
      </c>
      <c r="C92" s="47">
        <v>2019</v>
      </c>
      <c r="D92" s="47" t="s">
        <v>803</v>
      </c>
      <c r="E92" s="47">
        <v>14.48925</v>
      </c>
      <c r="F92" s="48">
        <f t="shared" si="2"/>
        <v>0.31267458691466721</v>
      </c>
      <c r="H92" s="16" t="s">
        <v>257</v>
      </c>
      <c r="I92" s="17">
        <v>17782</v>
      </c>
      <c r="J92" s="56">
        <f>Table24[[#This Row],[TRUMP VOTES]]/C193</f>
        <v>2.5789702683103699</v>
      </c>
      <c r="K92" s="18">
        <v>0.57399999999999995</v>
      </c>
      <c r="L92" s="17">
        <v>12574</v>
      </c>
      <c r="M92" s="56">
        <f>Table24[[#This Row],[BIDEN VOTES]]/C193</f>
        <v>1.8236403190717911</v>
      </c>
      <c r="N92" s="18">
        <v>0.40600000000000003</v>
      </c>
      <c r="O92" s="21">
        <f>1-(Table24[[#This Row],[Column1]]+Table24[[#This Row],[Column2]])</f>
        <v>-3.4026105873821608</v>
      </c>
    </row>
    <row r="93" spans="1:15" ht="20">
      <c r="A93" s="49" t="s">
        <v>69</v>
      </c>
      <c r="B93" s="50" t="s">
        <v>38</v>
      </c>
      <c r="C93" s="49">
        <v>2019</v>
      </c>
      <c r="D93" s="49" t="s">
        <v>803</v>
      </c>
      <c r="E93" s="49">
        <v>8.5986100000000008</v>
      </c>
      <c r="F93" s="48">
        <f t="shared" si="2"/>
        <v>0.11720228223134109</v>
      </c>
      <c r="H93" s="16" t="s">
        <v>258</v>
      </c>
      <c r="I93" s="17">
        <v>6971</v>
      </c>
      <c r="J93" s="56">
        <f>Table24[[#This Row],[TRUMP VOTES]]/C194</f>
        <v>1.0158845817545905</v>
      </c>
      <c r="K93" s="18">
        <v>0.59399999999999997</v>
      </c>
      <c r="L93" s="17">
        <v>4561</v>
      </c>
      <c r="M93" s="56">
        <f>Table24[[#This Row],[BIDEN VOTES]]/C194</f>
        <v>0.66467502185951621</v>
      </c>
      <c r="N93" s="18">
        <v>0.38800000000000001</v>
      </c>
      <c r="O93" s="21">
        <f>1-(Table24[[#This Row],[Column1]]+Table24[[#This Row],[Column2]])</f>
        <v>-0.68055960361410683</v>
      </c>
    </row>
    <row r="94" spans="1:15" ht="20">
      <c r="A94" s="47" t="s">
        <v>69</v>
      </c>
      <c r="B94" s="48" t="s">
        <v>160</v>
      </c>
      <c r="C94" s="47">
        <v>2019</v>
      </c>
      <c r="D94" s="47" t="s">
        <v>803</v>
      </c>
      <c r="E94" s="47">
        <v>13.59703</v>
      </c>
      <c r="F94" s="48">
        <f t="shared" si="2"/>
        <v>0.28306756633887964</v>
      </c>
      <c r="H94" s="16" t="s">
        <v>259</v>
      </c>
      <c r="I94" s="17">
        <v>2338</v>
      </c>
      <c r="J94" s="56">
        <f>Table24[[#This Row],[TRUMP VOTES]]/C195</f>
        <v>0.34765799256505575</v>
      </c>
      <c r="K94" s="18">
        <v>0.753</v>
      </c>
      <c r="L94" s="19">
        <v>727</v>
      </c>
      <c r="M94" s="56">
        <f>Table24[[#This Row],[BIDEN VOTES]]/C195</f>
        <v>0.10810408921933086</v>
      </c>
      <c r="N94" s="18">
        <v>0.23400000000000001</v>
      </c>
      <c r="O94" s="21">
        <f>1-(Table24[[#This Row],[Column1]]+Table24[[#This Row],[Column2]])</f>
        <v>0.5442379182156134</v>
      </c>
    </row>
    <row r="95" spans="1:15" ht="20">
      <c r="A95" s="49" t="s">
        <v>69</v>
      </c>
      <c r="B95" s="50" t="s">
        <v>884</v>
      </c>
      <c r="C95" s="49">
        <v>2019</v>
      </c>
      <c r="D95" s="49" t="s">
        <v>803</v>
      </c>
      <c r="E95" s="49">
        <v>20.211120000000001</v>
      </c>
      <c r="F95" s="48">
        <f t="shared" si="2"/>
        <v>0.50254650507608667</v>
      </c>
      <c r="H95" s="16" t="s">
        <v>853</v>
      </c>
      <c r="I95" s="17">
        <v>10938</v>
      </c>
      <c r="J95" s="56">
        <f>Table24[[#This Row],[TRUMP VOTES]]/C196</f>
        <v>1.7021475256769374</v>
      </c>
      <c r="K95" s="18">
        <v>0.61499999999999999</v>
      </c>
      <c r="L95" s="17">
        <v>6613</v>
      </c>
      <c r="M95" s="56">
        <f>Table24[[#This Row],[BIDEN VOTES]]/C196</f>
        <v>1.0291005291005291</v>
      </c>
      <c r="N95" s="18">
        <v>0.372</v>
      </c>
      <c r="O95" s="21">
        <f>1-(Table24[[#This Row],[Column1]]+Table24[[#This Row],[Column2]])</f>
        <v>-1.7312480547774665</v>
      </c>
    </row>
    <row r="96" spans="1:15" ht="20">
      <c r="A96" s="47" t="s">
        <v>69</v>
      </c>
      <c r="B96" s="48" t="s">
        <v>1401</v>
      </c>
      <c r="C96" s="47">
        <v>2019</v>
      </c>
      <c r="D96" s="47" t="s">
        <v>803</v>
      </c>
      <c r="E96" s="47">
        <v>21.87227</v>
      </c>
      <c r="F96" s="48">
        <f t="shared" si="2"/>
        <v>0.55766934723325579</v>
      </c>
      <c r="H96" s="16" t="s">
        <v>1413</v>
      </c>
      <c r="I96" s="17">
        <v>3707</v>
      </c>
      <c r="J96" s="56">
        <f>Table24[[#This Row],[TRUMP VOTES]]/C197</f>
        <v>0.60178571428571426</v>
      </c>
      <c r="K96" s="18">
        <v>0.623</v>
      </c>
      <c r="L96" s="17">
        <v>2135</v>
      </c>
      <c r="M96" s="56">
        <f>Table24[[#This Row],[BIDEN VOTES]]/C197</f>
        <v>0.34659090909090912</v>
      </c>
      <c r="N96" s="18">
        <v>0.35899999999999999</v>
      </c>
      <c r="O96" s="21">
        <f>1-(Table24[[#This Row],[Column1]]+Table24[[#This Row],[Column2]])</f>
        <v>5.1623376623376682E-2</v>
      </c>
    </row>
    <row r="97" spans="1:15" ht="20">
      <c r="A97" s="49" t="s">
        <v>69</v>
      </c>
      <c r="B97" s="50" t="s">
        <v>1528</v>
      </c>
      <c r="C97" s="49">
        <v>2019</v>
      </c>
      <c r="D97" s="49" t="s">
        <v>803</v>
      </c>
      <c r="E97" s="49">
        <v>5.0666700000000002</v>
      </c>
      <c r="F97" s="48">
        <f t="shared" si="2"/>
        <v>0</v>
      </c>
      <c r="H97" s="16" t="s">
        <v>1571</v>
      </c>
      <c r="I97" s="17">
        <v>6235</v>
      </c>
      <c r="J97" s="56">
        <f>Table24[[#This Row],[TRUMP VOTES]]/C198</f>
        <v>1.0364029255319149</v>
      </c>
      <c r="K97" s="18">
        <v>0.51800000000000002</v>
      </c>
      <c r="L97" s="17">
        <v>5617</v>
      </c>
      <c r="M97" s="56">
        <f>Table24[[#This Row],[BIDEN VOTES]]/C198</f>
        <v>0.93367686170212771</v>
      </c>
      <c r="N97" s="18">
        <v>0.46700000000000003</v>
      </c>
      <c r="O97" s="21">
        <f>1-(Table24[[#This Row],[Column1]]+Table24[[#This Row],[Column2]])</f>
        <v>-0.97007978723404253</v>
      </c>
    </row>
    <row r="98" spans="1:15" ht="20">
      <c r="A98" s="47" t="s">
        <v>69</v>
      </c>
      <c r="B98" s="48" t="s">
        <v>1529</v>
      </c>
      <c r="C98" s="47">
        <v>2019</v>
      </c>
      <c r="D98" s="47" t="s">
        <v>803</v>
      </c>
      <c r="E98" s="47">
        <v>23.505310000000001</v>
      </c>
      <c r="F98" s="48">
        <f t="shared" ref="F98:F100" si="3">(E98-MIN(E:E))/(MAX(E:E)-MIN(E:E))</f>
        <v>0.61185940000172556</v>
      </c>
      <c r="H98" s="16" t="s">
        <v>1572</v>
      </c>
      <c r="I98" s="17">
        <v>25736</v>
      </c>
      <c r="J98" s="56">
        <f>Table24[[#This Row],[TRUMP VOTES]]/C199</f>
        <v>4.6555716353111434</v>
      </c>
      <c r="K98" s="18">
        <v>0.56999999999999995</v>
      </c>
      <c r="L98" s="17">
        <v>18704</v>
      </c>
      <c r="M98" s="56">
        <f>Table24[[#This Row],[BIDEN VOTES]]/C199</f>
        <v>3.3835021707670045</v>
      </c>
      <c r="N98" s="18">
        <v>0.41399999999999998</v>
      </c>
      <c r="O98" s="21">
        <f>1-(Table24[[#This Row],[Column1]]+Table24[[#This Row],[Column2]])</f>
        <v>-7.0390738060781484</v>
      </c>
    </row>
    <row r="99" spans="1:15" ht="20">
      <c r="A99" s="49" t="s">
        <v>69</v>
      </c>
      <c r="B99" s="50" t="s">
        <v>1304</v>
      </c>
      <c r="C99" s="49">
        <v>2019</v>
      </c>
      <c r="D99" s="49" t="s">
        <v>803</v>
      </c>
      <c r="E99" s="49">
        <v>14.73414</v>
      </c>
      <c r="F99" s="48">
        <f t="shared" si="3"/>
        <v>0.3208009047161115</v>
      </c>
      <c r="H99" s="16" t="s">
        <v>1397</v>
      </c>
      <c r="I99" s="17">
        <v>2738</v>
      </c>
      <c r="J99" s="56">
        <f>Table24[[#This Row],[TRUMP VOTES]]/C200</f>
        <v>0.55627793579845586</v>
      </c>
      <c r="K99" s="18">
        <v>0.62</v>
      </c>
      <c r="L99" s="17">
        <v>1596</v>
      </c>
      <c r="M99" s="56">
        <f>Table24[[#This Row],[BIDEN VOTES]]/C200</f>
        <v>0.3242584315318976</v>
      </c>
      <c r="N99" s="18">
        <v>0.36199999999999999</v>
      </c>
      <c r="O99" s="21">
        <f>1-(Table24[[#This Row],[Column1]]+Table24[[#This Row],[Column2]])</f>
        <v>0.11946363266964655</v>
      </c>
    </row>
    <row r="100" spans="1:15" ht="20">
      <c r="A100" s="74" t="s">
        <v>69</v>
      </c>
      <c r="B100" s="75" t="s">
        <v>1530</v>
      </c>
      <c r="C100" s="74">
        <v>2019</v>
      </c>
      <c r="D100" s="74" t="s">
        <v>803</v>
      </c>
      <c r="E100" s="74">
        <v>16.683019999999999</v>
      </c>
      <c r="F100" s="48">
        <f t="shared" si="3"/>
        <v>0.3854716476491783</v>
      </c>
      <c r="H100" s="16" t="s">
        <v>1573</v>
      </c>
      <c r="I100" s="17">
        <v>4136</v>
      </c>
      <c r="J100" s="56">
        <f>Table24[[#This Row],[TRUMP VOTES]]/C201</f>
        <v>1.1384530690889072</v>
      </c>
      <c r="K100" s="18">
        <v>0.66300000000000003</v>
      </c>
      <c r="L100" s="17">
        <v>1996</v>
      </c>
      <c r="M100" s="56">
        <f>Table24[[#This Row],[BIDEN VOTES]]/C201</f>
        <v>0.54940820258739331</v>
      </c>
      <c r="N100" s="18">
        <v>0.32</v>
      </c>
      <c r="O100" s="21">
        <f>1-(Table24[[#This Row],[Column1]]+Table24[[#This Row],[Column2]])</f>
        <v>-0.6878612716763004</v>
      </c>
    </row>
    <row r="102" spans="1:15" ht="21">
      <c r="A102" s="77" t="s">
        <v>1670</v>
      </c>
      <c r="B102" s="77" t="s">
        <v>69</v>
      </c>
      <c r="C102" s="77" t="s">
        <v>54</v>
      </c>
    </row>
    <row r="103" spans="1:15" ht="21">
      <c r="A103" s="52">
        <v>1</v>
      </c>
      <c r="B103" s="53" t="s">
        <v>239</v>
      </c>
      <c r="C103" s="54">
        <v>485418</v>
      </c>
    </row>
    <row r="104" spans="1:15" ht="21">
      <c r="A104" s="52">
        <v>2</v>
      </c>
      <c r="B104" s="53" t="s">
        <v>284</v>
      </c>
      <c r="C104" s="54">
        <v>225601</v>
      </c>
    </row>
    <row r="105" spans="1:15" ht="21">
      <c r="A105" s="52">
        <v>3</v>
      </c>
      <c r="B105" s="53" t="s">
        <v>245</v>
      </c>
      <c r="C105" s="54">
        <v>172938</v>
      </c>
    </row>
    <row r="106" spans="1:15" ht="21">
      <c r="A106" s="52">
        <v>4</v>
      </c>
      <c r="B106" s="53" t="s">
        <v>215</v>
      </c>
      <c r="C106" s="54">
        <v>150819</v>
      </c>
    </row>
    <row r="107" spans="1:15" ht="21">
      <c r="A107" s="52">
        <v>5</v>
      </c>
      <c r="B107" s="53" t="s">
        <v>1535</v>
      </c>
      <c r="C107" s="54">
        <v>131813</v>
      </c>
    </row>
    <row r="108" spans="1:15" ht="21">
      <c r="A108" s="52">
        <v>6</v>
      </c>
      <c r="B108" s="53" t="s">
        <v>1572</v>
      </c>
      <c r="C108" s="54">
        <v>102687</v>
      </c>
    </row>
    <row r="109" spans="1:15" ht="21">
      <c r="A109" s="52">
        <v>7</v>
      </c>
      <c r="B109" s="53" t="s">
        <v>1568</v>
      </c>
      <c r="C109" s="54">
        <v>97355</v>
      </c>
    </row>
    <row r="110" spans="1:15" ht="21">
      <c r="A110" s="52">
        <v>8</v>
      </c>
      <c r="B110" s="53" t="s">
        <v>1545</v>
      </c>
      <c r="C110" s="54">
        <v>97193</v>
      </c>
    </row>
    <row r="111" spans="1:15" ht="21">
      <c r="A111" s="52">
        <v>9</v>
      </c>
      <c r="B111" s="53" t="s">
        <v>1563</v>
      </c>
      <c r="C111" s="54">
        <v>93478</v>
      </c>
    </row>
    <row r="112" spans="1:15" ht="21">
      <c r="A112" s="52">
        <v>10</v>
      </c>
      <c r="B112" s="53" t="s">
        <v>384</v>
      </c>
      <c r="C112" s="54">
        <v>90418</v>
      </c>
    </row>
    <row r="113" spans="1:3" ht="21">
      <c r="A113" s="52">
        <v>11</v>
      </c>
      <c r="B113" s="53" t="s">
        <v>257</v>
      </c>
      <c r="C113" s="54">
        <v>50867</v>
      </c>
    </row>
    <row r="114" spans="1:3" ht="21">
      <c r="A114" s="52">
        <v>12</v>
      </c>
      <c r="B114" s="53" t="s">
        <v>1405</v>
      </c>
      <c r="C114" s="54">
        <v>46734</v>
      </c>
    </row>
    <row r="115" spans="1:3" ht="21">
      <c r="A115" s="52">
        <v>13</v>
      </c>
      <c r="B115" s="53" t="s">
        <v>1557</v>
      </c>
      <c r="C115" s="54">
        <v>42703</v>
      </c>
    </row>
    <row r="116" spans="1:3" ht="21">
      <c r="A116" s="52">
        <v>14</v>
      </c>
      <c r="B116" s="53" t="s">
        <v>1540</v>
      </c>
      <c r="C116" s="54">
        <v>42672</v>
      </c>
    </row>
    <row r="117" spans="1:3" ht="21">
      <c r="A117" s="52">
        <v>15</v>
      </c>
      <c r="B117" s="53" t="s">
        <v>228</v>
      </c>
      <c r="C117" s="54">
        <v>39804</v>
      </c>
    </row>
    <row r="118" spans="1:3" ht="21">
      <c r="A118" s="52">
        <v>16</v>
      </c>
      <c r="B118" s="53" t="s">
        <v>1543</v>
      </c>
      <c r="C118" s="54">
        <v>39227</v>
      </c>
    </row>
    <row r="119" spans="1:3" ht="21">
      <c r="A119" s="52">
        <v>17</v>
      </c>
      <c r="B119" s="53" t="s">
        <v>440</v>
      </c>
      <c r="C119" s="54">
        <v>37032</v>
      </c>
    </row>
    <row r="120" spans="1:3" ht="21">
      <c r="A120" s="52">
        <v>18</v>
      </c>
      <c r="B120" s="53" t="s">
        <v>853</v>
      </c>
      <c r="C120" s="54">
        <v>36348</v>
      </c>
    </row>
    <row r="121" spans="1:3" ht="21">
      <c r="A121" s="52">
        <v>19</v>
      </c>
      <c r="B121" s="53" t="s">
        <v>1570</v>
      </c>
      <c r="C121" s="54">
        <v>35102</v>
      </c>
    </row>
    <row r="122" spans="1:3" ht="21">
      <c r="A122" s="52">
        <v>20</v>
      </c>
      <c r="B122" s="53" t="s">
        <v>1567</v>
      </c>
      <c r="C122" s="54">
        <v>34900</v>
      </c>
    </row>
    <row r="123" spans="1:3" ht="21">
      <c r="A123" s="52">
        <v>21</v>
      </c>
      <c r="B123" s="53" t="s">
        <v>459</v>
      </c>
      <c r="C123" s="54">
        <v>33946</v>
      </c>
    </row>
    <row r="124" spans="1:3" ht="21">
      <c r="A124" s="52">
        <v>22</v>
      </c>
      <c r="B124" s="53" t="s">
        <v>227</v>
      </c>
      <c r="C124" s="54">
        <v>33193</v>
      </c>
    </row>
    <row r="125" spans="1:3" ht="21">
      <c r="A125" s="52">
        <v>23</v>
      </c>
      <c r="B125" s="53" t="s">
        <v>827</v>
      </c>
      <c r="C125" s="54">
        <v>26381</v>
      </c>
    </row>
    <row r="126" spans="1:3" ht="21">
      <c r="A126" s="52">
        <v>24</v>
      </c>
      <c r="B126" s="53" t="s">
        <v>172</v>
      </c>
      <c r="C126" s="54">
        <v>25558</v>
      </c>
    </row>
    <row r="127" spans="1:3" ht="21">
      <c r="A127" s="52">
        <v>25</v>
      </c>
      <c r="B127" s="53" t="s">
        <v>1562</v>
      </c>
      <c r="C127" s="54">
        <v>25141</v>
      </c>
    </row>
    <row r="128" spans="1:3" ht="21">
      <c r="A128" s="52">
        <v>26</v>
      </c>
      <c r="B128" s="53" t="s">
        <v>1536</v>
      </c>
      <c r="C128" s="54">
        <v>25032</v>
      </c>
    </row>
    <row r="129" spans="1:3" ht="21">
      <c r="A129" s="52">
        <v>27</v>
      </c>
      <c r="B129" s="53" t="s">
        <v>1555</v>
      </c>
      <c r="C129" s="54">
        <v>22351</v>
      </c>
    </row>
    <row r="130" spans="1:3" ht="21">
      <c r="A130" s="52">
        <v>28</v>
      </c>
      <c r="B130" s="53" t="s">
        <v>258</v>
      </c>
      <c r="C130" s="54">
        <v>22100</v>
      </c>
    </row>
    <row r="131" spans="1:3" ht="21">
      <c r="A131" s="52">
        <v>29</v>
      </c>
      <c r="B131" s="53" t="s">
        <v>1537</v>
      </c>
      <c r="C131" s="54">
        <v>21141</v>
      </c>
    </row>
    <row r="132" spans="1:3" ht="21">
      <c r="A132" s="52">
        <v>30</v>
      </c>
      <c r="B132" s="53" t="s">
        <v>444</v>
      </c>
      <c r="C132" s="54">
        <v>20575</v>
      </c>
    </row>
    <row r="133" spans="1:3" ht="21">
      <c r="A133" s="52">
        <v>31</v>
      </c>
      <c r="B133" s="53" t="s">
        <v>178</v>
      </c>
      <c r="C133" s="54">
        <v>20150</v>
      </c>
    </row>
    <row r="134" spans="1:3" ht="21">
      <c r="A134" s="52">
        <v>32</v>
      </c>
      <c r="B134" s="53" t="s">
        <v>1571</v>
      </c>
      <c r="C134" s="54">
        <v>20090</v>
      </c>
    </row>
    <row r="135" spans="1:3" ht="21">
      <c r="A135" s="52">
        <v>33</v>
      </c>
      <c r="B135" s="53" t="s">
        <v>1538</v>
      </c>
      <c r="C135" s="54">
        <v>19950</v>
      </c>
    </row>
    <row r="136" spans="1:3" ht="21">
      <c r="A136" s="52">
        <v>34</v>
      </c>
      <c r="B136" s="53" t="s">
        <v>209</v>
      </c>
      <c r="C136" s="54">
        <v>19889</v>
      </c>
    </row>
    <row r="137" spans="1:3" ht="21">
      <c r="A137" s="52">
        <v>35</v>
      </c>
      <c r="B137" s="53" t="s">
        <v>193</v>
      </c>
      <c r="C137" s="54">
        <v>19604</v>
      </c>
    </row>
    <row r="138" spans="1:3" ht="21">
      <c r="A138" s="52">
        <v>36</v>
      </c>
      <c r="B138" s="53" t="s">
        <v>213</v>
      </c>
      <c r="C138" s="54">
        <v>19348</v>
      </c>
    </row>
    <row r="139" spans="1:3" ht="21">
      <c r="A139" s="52">
        <v>37</v>
      </c>
      <c r="B139" s="53" t="s">
        <v>1539</v>
      </c>
      <c r="C139" s="54">
        <v>18475</v>
      </c>
    </row>
    <row r="140" spans="1:3" ht="21">
      <c r="A140" s="52">
        <v>38</v>
      </c>
      <c r="B140" s="53" t="s">
        <v>1564</v>
      </c>
      <c r="C140" s="54">
        <v>18391</v>
      </c>
    </row>
    <row r="141" spans="1:3" ht="21">
      <c r="A141" s="52">
        <v>39</v>
      </c>
      <c r="B141" s="53" t="s">
        <v>214</v>
      </c>
      <c r="C141" s="54">
        <v>18153</v>
      </c>
    </row>
    <row r="142" spans="1:3" ht="21">
      <c r="A142" s="52">
        <v>40</v>
      </c>
      <c r="B142" s="53" t="s">
        <v>1325</v>
      </c>
      <c r="C142" s="54">
        <v>17527</v>
      </c>
    </row>
    <row r="143" spans="1:3" ht="21">
      <c r="A143" s="52">
        <v>41</v>
      </c>
      <c r="B143" s="53" t="s">
        <v>1544</v>
      </c>
      <c r="C143" s="54">
        <v>17260</v>
      </c>
    </row>
    <row r="144" spans="1:3" ht="21">
      <c r="A144" s="52">
        <v>42</v>
      </c>
      <c r="B144" s="53" t="s">
        <v>1457</v>
      </c>
      <c r="C144" s="54">
        <v>17107</v>
      </c>
    </row>
    <row r="145" spans="1:3" ht="21">
      <c r="A145" s="52">
        <v>43</v>
      </c>
      <c r="B145" s="53" t="s">
        <v>1331</v>
      </c>
      <c r="C145" s="54">
        <v>16998</v>
      </c>
    </row>
    <row r="146" spans="1:3" ht="21">
      <c r="A146" s="52">
        <v>44</v>
      </c>
      <c r="B146" s="53" t="s">
        <v>1569</v>
      </c>
      <c r="C146" s="54">
        <v>16962</v>
      </c>
    </row>
    <row r="147" spans="1:3" ht="21">
      <c r="A147" s="52">
        <v>45</v>
      </c>
      <c r="B147" s="53" t="s">
        <v>205</v>
      </c>
      <c r="C147" s="54">
        <v>16924</v>
      </c>
    </row>
    <row r="148" spans="1:3" ht="21">
      <c r="A148" s="52">
        <v>46</v>
      </c>
      <c r="B148" s="53" t="s">
        <v>1549</v>
      </c>
      <c r="C148" s="54">
        <v>16155</v>
      </c>
    </row>
    <row r="149" spans="1:3" ht="21">
      <c r="A149" s="52">
        <v>47</v>
      </c>
      <c r="B149" s="53" t="s">
        <v>226</v>
      </c>
      <c r="C149" s="54">
        <v>16148</v>
      </c>
    </row>
    <row r="150" spans="1:3" ht="21">
      <c r="A150" s="52">
        <v>48</v>
      </c>
      <c r="B150" s="53" t="s">
        <v>183</v>
      </c>
      <c r="C150" s="54">
        <v>16138</v>
      </c>
    </row>
    <row r="151" spans="1:3" ht="21">
      <c r="A151" s="52">
        <v>49</v>
      </c>
      <c r="B151" s="53" t="s">
        <v>403</v>
      </c>
      <c r="C151" s="54">
        <v>15713</v>
      </c>
    </row>
    <row r="152" spans="1:3" ht="21">
      <c r="A152" s="52">
        <v>50</v>
      </c>
      <c r="B152" s="53" t="s">
        <v>1560</v>
      </c>
      <c r="C152" s="54">
        <v>15205</v>
      </c>
    </row>
    <row r="153" spans="1:3" ht="21">
      <c r="A153" s="52">
        <v>51</v>
      </c>
      <c r="B153" s="53" t="s">
        <v>480</v>
      </c>
      <c r="C153" s="54">
        <v>15023</v>
      </c>
    </row>
    <row r="154" spans="1:3" ht="21">
      <c r="A154" s="52">
        <v>52</v>
      </c>
      <c r="B154" s="53" t="s">
        <v>202</v>
      </c>
      <c r="C154" s="54">
        <v>14905</v>
      </c>
    </row>
    <row r="155" spans="1:3" ht="21">
      <c r="A155" s="52">
        <v>53</v>
      </c>
      <c r="B155" s="53" t="s">
        <v>1551</v>
      </c>
      <c r="C155" s="54">
        <v>14864</v>
      </c>
    </row>
    <row r="156" spans="1:3" ht="21">
      <c r="A156" s="52">
        <v>54</v>
      </c>
      <c r="B156" s="53" t="s">
        <v>926</v>
      </c>
      <c r="C156" s="54">
        <v>14508</v>
      </c>
    </row>
    <row r="157" spans="1:3" ht="21">
      <c r="A157" s="52">
        <v>55</v>
      </c>
      <c r="B157" s="53" t="s">
        <v>424</v>
      </c>
      <c r="C157" s="54">
        <v>14043</v>
      </c>
    </row>
    <row r="158" spans="1:3" ht="21">
      <c r="A158" s="52">
        <v>56</v>
      </c>
      <c r="B158" s="53" t="s">
        <v>1558</v>
      </c>
      <c r="C158" s="54">
        <v>13796</v>
      </c>
    </row>
    <row r="159" spans="1:3" ht="21">
      <c r="A159" s="52">
        <v>57</v>
      </c>
      <c r="B159" s="53" t="s">
        <v>1532</v>
      </c>
      <c r="C159" s="54">
        <v>13761</v>
      </c>
    </row>
    <row r="160" spans="1:3" ht="21">
      <c r="A160" s="52">
        <v>58</v>
      </c>
      <c r="B160" s="53" t="s">
        <v>363</v>
      </c>
      <c r="C160" s="54">
        <v>12990</v>
      </c>
    </row>
    <row r="161" spans="1:3" ht="21">
      <c r="A161" s="52">
        <v>59</v>
      </c>
      <c r="B161" s="53" t="s">
        <v>1573</v>
      </c>
      <c r="C161" s="54">
        <v>12644</v>
      </c>
    </row>
    <row r="162" spans="1:3" ht="21">
      <c r="A162" s="52">
        <v>60</v>
      </c>
      <c r="B162" s="53" t="s">
        <v>1533</v>
      </c>
      <c r="C162" s="54">
        <v>12462</v>
      </c>
    </row>
    <row r="163" spans="1:3" ht="21">
      <c r="A163" s="52">
        <v>61</v>
      </c>
      <c r="B163" s="53" t="s">
        <v>255</v>
      </c>
      <c r="C163" s="54">
        <v>12303</v>
      </c>
    </row>
    <row r="164" spans="1:3" ht="21">
      <c r="A164" s="52">
        <v>62</v>
      </c>
      <c r="B164" s="53" t="s">
        <v>200</v>
      </c>
      <c r="C164" s="54">
        <v>12262</v>
      </c>
    </row>
    <row r="165" spans="1:3" ht="21">
      <c r="A165" s="52">
        <v>63</v>
      </c>
      <c r="B165" s="53" t="s">
        <v>1541</v>
      </c>
      <c r="C165" s="54">
        <v>11970</v>
      </c>
    </row>
    <row r="166" spans="1:3" ht="21">
      <c r="A166" s="52">
        <v>64</v>
      </c>
      <c r="B166" s="53" t="s">
        <v>1554</v>
      </c>
      <c r="C166" s="54">
        <v>11800</v>
      </c>
    </row>
    <row r="167" spans="1:3" ht="21">
      <c r="A167" s="52">
        <v>65</v>
      </c>
      <c r="B167" s="53" t="s">
        <v>264</v>
      </c>
      <c r="C167" s="54">
        <v>11544</v>
      </c>
    </row>
    <row r="168" spans="1:3" ht="21">
      <c r="A168" s="52">
        <v>66</v>
      </c>
      <c r="B168" s="53" t="s">
        <v>366</v>
      </c>
      <c r="C168" s="54">
        <v>11281</v>
      </c>
    </row>
    <row r="169" spans="1:3" ht="21">
      <c r="A169" s="52">
        <v>67</v>
      </c>
      <c r="B169" s="53" t="s">
        <v>1552</v>
      </c>
      <c r="C169" s="54">
        <v>11125</v>
      </c>
    </row>
    <row r="170" spans="1:3" ht="21">
      <c r="A170" s="52">
        <v>68</v>
      </c>
      <c r="B170" s="53" t="s">
        <v>203</v>
      </c>
      <c r="C170" s="54">
        <v>10709</v>
      </c>
    </row>
    <row r="171" spans="1:3" ht="21">
      <c r="A171" s="52">
        <v>69</v>
      </c>
      <c r="B171" s="53" t="s">
        <v>1547</v>
      </c>
      <c r="C171" s="54">
        <v>10702</v>
      </c>
    </row>
    <row r="172" spans="1:3" ht="21">
      <c r="A172" s="52">
        <v>70</v>
      </c>
      <c r="B172" s="53" t="s">
        <v>481</v>
      </c>
      <c r="C172" s="54">
        <v>10588</v>
      </c>
    </row>
    <row r="173" spans="1:3" ht="21">
      <c r="A173" s="52">
        <v>71</v>
      </c>
      <c r="B173" s="53" t="s">
        <v>1413</v>
      </c>
      <c r="C173" s="54">
        <v>10474</v>
      </c>
    </row>
    <row r="174" spans="1:3" ht="21">
      <c r="A174" s="52">
        <v>72</v>
      </c>
      <c r="B174" s="53" t="s">
        <v>1550</v>
      </c>
      <c r="C174" s="54">
        <v>10163</v>
      </c>
    </row>
    <row r="175" spans="1:3" ht="21">
      <c r="A175" s="52">
        <v>73</v>
      </c>
      <c r="B175" s="53" t="s">
        <v>195</v>
      </c>
      <c r="C175" s="54">
        <v>10091</v>
      </c>
    </row>
    <row r="176" spans="1:3" ht="21">
      <c r="A176" s="52">
        <v>74</v>
      </c>
      <c r="B176" s="53" t="s">
        <v>232</v>
      </c>
      <c r="C176" s="54">
        <v>10016</v>
      </c>
    </row>
    <row r="177" spans="1:3" ht="21">
      <c r="A177" s="52">
        <v>75</v>
      </c>
      <c r="B177" s="53" t="s">
        <v>1566</v>
      </c>
      <c r="C177" s="54">
        <v>9711</v>
      </c>
    </row>
    <row r="178" spans="1:3" ht="21">
      <c r="A178" s="52">
        <v>76</v>
      </c>
      <c r="B178" s="53" t="s">
        <v>358</v>
      </c>
      <c r="C178" s="54">
        <v>9656</v>
      </c>
    </row>
    <row r="179" spans="1:3" ht="21">
      <c r="A179" s="52">
        <v>77</v>
      </c>
      <c r="B179" s="53" t="s">
        <v>998</v>
      </c>
      <c r="C179" s="54">
        <v>9518</v>
      </c>
    </row>
    <row r="180" spans="1:3" ht="21">
      <c r="A180" s="52">
        <v>78</v>
      </c>
      <c r="B180" s="53" t="s">
        <v>929</v>
      </c>
      <c r="C180" s="54">
        <v>9383</v>
      </c>
    </row>
    <row r="181" spans="1:3" ht="21">
      <c r="A181" s="52">
        <v>79</v>
      </c>
      <c r="B181" s="53" t="s">
        <v>1546</v>
      </c>
      <c r="C181" s="54">
        <v>9322</v>
      </c>
    </row>
    <row r="182" spans="1:3" ht="21">
      <c r="A182" s="52">
        <v>80</v>
      </c>
      <c r="B182" s="53" t="s">
        <v>434</v>
      </c>
      <c r="C182" s="54">
        <v>9201</v>
      </c>
    </row>
    <row r="183" spans="1:3" ht="21">
      <c r="A183" s="52">
        <v>81</v>
      </c>
      <c r="B183" s="53" t="s">
        <v>1542</v>
      </c>
      <c r="C183" s="54">
        <v>8977</v>
      </c>
    </row>
    <row r="184" spans="1:3" ht="21">
      <c r="A184" s="52">
        <v>82</v>
      </c>
      <c r="B184" s="53" t="s">
        <v>1561</v>
      </c>
      <c r="C184" s="54">
        <v>8941</v>
      </c>
    </row>
    <row r="185" spans="1:3" ht="21">
      <c r="A185" s="52">
        <v>83</v>
      </c>
      <c r="B185" s="53" t="s">
        <v>199</v>
      </c>
      <c r="C185" s="54">
        <v>8923</v>
      </c>
    </row>
    <row r="186" spans="1:3" ht="21">
      <c r="A186" s="52">
        <v>84</v>
      </c>
      <c r="B186" s="53" t="s">
        <v>1556</v>
      </c>
      <c r="C186" s="54">
        <v>8675</v>
      </c>
    </row>
    <row r="187" spans="1:3" ht="21">
      <c r="A187" s="52">
        <v>85</v>
      </c>
      <c r="B187" s="53" t="s">
        <v>1553</v>
      </c>
      <c r="C187" s="54">
        <v>8556</v>
      </c>
    </row>
    <row r="188" spans="1:3" ht="21">
      <c r="A188" s="52">
        <v>86</v>
      </c>
      <c r="B188" s="53" t="s">
        <v>189</v>
      </c>
      <c r="C188" s="54">
        <v>7908</v>
      </c>
    </row>
    <row r="189" spans="1:3" ht="21">
      <c r="A189" s="52">
        <v>87</v>
      </c>
      <c r="B189" s="53" t="s">
        <v>231</v>
      </c>
      <c r="C189" s="54">
        <v>7761</v>
      </c>
    </row>
    <row r="190" spans="1:3" ht="21">
      <c r="A190" s="52">
        <v>88</v>
      </c>
      <c r="B190" s="53" t="s">
        <v>1397</v>
      </c>
      <c r="C190" s="54">
        <v>7422</v>
      </c>
    </row>
    <row r="191" spans="1:3" ht="21">
      <c r="A191" s="52">
        <v>89</v>
      </c>
      <c r="B191" s="53" t="s">
        <v>256</v>
      </c>
      <c r="C191" s="54">
        <v>7104</v>
      </c>
    </row>
    <row r="192" spans="1:3" ht="21">
      <c r="A192" s="52">
        <v>90</v>
      </c>
      <c r="B192" s="53" t="s">
        <v>1531</v>
      </c>
      <c r="C192" s="54">
        <v>7048</v>
      </c>
    </row>
    <row r="193" spans="1:3" ht="21">
      <c r="A193" s="52">
        <v>91</v>
      </c>
      <c r="B193" s="53" t="s">
        <v>1162</v>
      </c>
      <c r="C193" s="54">
        <v>6895</v>
      </c>
    </row>
    <row r="194" spans="1:3" ht="21">
      <c r="A194" s="52">
        <v>92</v>
      </c>
      <c r="B194" s="53" t="s">
        <v>1548</v>
      </c>
      <c r="C194" s="54">
        <v>6862</v>
      </c>
    </row>
    <row r="195" spans="1:3" ht="21">
      <c r="A195" s="52">
        <v>93</v>
      </c>
      <c r="B195" s="53" t="s">
        <v>846</v>
      </c>
      <c r="C195" s="54">
        <v>6725</v>
      </c>
    </row>
    <row r="196" spans="1:3" ht="21">
      <c r="A196" s="52">
        <v>94</v>
      </c>
      <c r="B196" s="53" t="s">
        <v>259</v>
      </c>
      <c r="C196" s="54">
        <v>6426</v>
      </c>
    </row>
    <row r="197" spans="1:3" ht="21">
      <c r="A197" s="52">
        <v>95</v>
      </c>
      <c r="B197" s="53" t="s">
        <v>526</v>
      </c>
      <c r="C197" s="54">
        <v>6160</v>
      </c>
    </row>
    <row r="198" spans="1:3" ht="21">
      <c r="A198" s="52">
        <v>96</v>
      </c>
      <c r="B198" s="53" t="s">
        <v>1559</v>
      </c>
      <c r="C198" s="54">
        <v>6016</v>
      </c>
    </row>
    <row r="199" spans="1:3" ht="21">
      <c r="A199" s="52">
        <v>97</v>
      </c>
      <c r="B199" s="53" t="s">
        <v>1534</v>
      </c>
      <c r="C199" s="54">
        <v>5528</v>
      </c>
    </row>
    <row r="200" spans="1:3" ht="21">
      <c r="A200" s="52">
        <v>98</v>
      </c>
      <c r="B200" s="53" t="s">
        <v>1565</v>
      </c>
      <c r="C200" s="54">
        <v>4922</v>
      </c>
    </row>
    <row r="201" spans="1:3" ht="21">
      <c r="A201" s="52">
        <v>99</v>
      </c>
      <c r="B201" s="53" t="s">
        <v>1144</v>
      </c>
      <c r="C201" s="54">
        <v>3633</v>
      </c>
    </row>
  </sheetData>
  <hyperlinks>
    <hyperlink ref="B103" r:id="rId1" display="https://www.iowa-demographics.com/polk-county-demographics" xr:uid="{F5A946A5-1E2E-9B4D-A111-7F3C7191F856}"/>
    <hyperlink ref="B104" r:id="rId2" display="https://www.iowa-demographics.com/linn-county-demographics" xr:uid="{EFE679F8-4BA2-C646-9C33-B22D9DBF2204}"/>
    <hyperlink ref="B105" r:id="rId3" display="https://www.iowa-demographics.com/scott-county-demographics" xr:uid="{DED3ECA7-4CC0-1B41-9DBC-9F26EE85BC33}"/>
    <hyperlink ref="B106" r:id="rId4" display="https://www.iowa-demographics.com/johnson-county-demographics" xr:uid="{277FAE7E-2840-CB48-AE51-B9C1DC78F29B}"/>
    <hyperlink ref="B107" r:id="rId5" display="https://www.iowa-demographics.com/black-hawk-county-demographics" xr:uid="{DC2DA43F-E19E-2042-9474-FF90D2DBE519}"/>
    <hyperlink ref="B108" r:id="rId6" display="https://www.iowa-demographics.com/woodbury-county-demographics" xr:uid="{0795AD45-C9C2-E84C-B117-872E5EEE4DA1}"/>
    <hyperlink ref="B109" r:id="rId7" display="https://www.iowa-demographics.com/story-county-demographics" xr:uid="{BBDBAB27-8A3E-3140-A296-6EACF0F42863}"/>
    <hyperlink ref="B110" r:id="rId8" display="https://www.iowa-demographics.com/dubuque-county-demographics" xr:uid="{77DAC52A-2DEC-F649-897C-EC5AD232B39B}"/>
    <hyperlink ref="B111" r:id="rId9" display="https://www.iowa-demographics.com/pottawattamie-county-demographics" xr:uid="{8E99400A-252D-394D-8823-C1BDADD482DE}"/>
    <hyperlink ref="B112" r:id="rId10" display="https://www.iowa-demographics.com/dallas-county-demographics" xr:uid="{C9F120CD-900C-454E-9F98-778B949A690C}"/>
    <hyperlink ref="B113" r:id="rId11" display="https://www.iowa-demographics.com/warren-county-demographics" xr:uid="{876867D2-388A-D04C-A73D-760D5B8751A5}"/>
    <hyperlink ref="B114" r:id="rId12" display="https://www.iowa-demographics.com/clinton-county-demographics" xr:uid="{D1B7B9BA-663E-FF4F-865D-F818779961F5}"/>
    <hyperlink ref="B115" r:id="rId13" display="https://www.iowa-demographics.com/muscatine-county-demographics" xr:uid="{16E9F537-3E8C-8840-BBDC-5D4FA155ACF1}"/>
    <hyperlink ref="B116" r:id="rId14" display="https://www.iowa-demographics.com/cerro-gordo-county-demographics" xr:uid="{DCF22163-2C25-EF4D-9A73-5D0937EB56D0}"/>
    <hyperlink ref="B117" r:id="rId15" display="https://www.iowa-demographics.com/marshall-county-demographics" xr:uid="{EFD4947B-48E9-9D4D-8F54-B251BDAE73AB}"/>
    <hyperlink ref="B118" r:id="rId16" display="https://www.iowa-demographics.com/des-moines-county-demographics" xr:uid="{3F4B4A1B-1C47-AE4A-A283-524DD6F57C70}"/>
    <hyperlink ref="B119" r:id="rId17" display="https://www.iowa-demographics.com/jasper-county-demographics" xr:uid="{B6D79D39-7208-3E47-B3BD-BC091166E930}"/>
    <hyperlink ref="B120" r:id="rId18" display="https://www.iowa-demographics.com/webster-county-demographics" xr:uid="{F32F0611-FE11-F549-9659-D4DD3B4D8917}"/>
    <hyperlink ref="B121" r:id="rId19" display="https://www.iowa-demographics.com/wapello-county-demographics" xr:uid="{9B61D44F-1BC6-DE45-AFBD-E6ACFFA4DEA3}"/>
    <hyperlink ref="B122" r:id="rId20" display="https://www.iowa-demographics.com/sioux-county-demographics" xr:uid="{3B0106D5-523E-314A-B13A-3D78C81C736F}"/>
    <hyperlink ref="B123" r:id="rId21" display="https://www.iowa-demographics.com/lee-county-demographics" xr:uid="{69F872AF-6BC1-8D43-91EA-7ADFB556DB10}"/>
    <hyperlink ref="B124" r:id="rId22" display="https://www.iowa-demographics.com/marion-county-demographics" xr:uid="{C69D4015-78DD-C240-8D6A-C5F6419B3847}"/>
    <hyperlink ref="B125" r:id="rId23" display="https://www.iowa-demographics.com/boone-county-demographics" xr:uid="{03684452-B938-4D48-BF81-E605BD56824F}"/>
    <hyperlink ref="B126" r:id="rId24" display="https://www.iowa-demographics.com/benton-county-demographics" xr:uid="{B068A538-04A6-8440-95C4-864BC6161574}"/>
    <hyperlink ref="B127" r:id="rId25" display="https://www.iowa-demographics.com/plymouth-county-demographics" xr:uid="{36CD9AD4-6858-F547-AA77-AD9C1413268D}"/>
    <hyperlink ref="B128" r:id="rId26" display="https://www.iowa-demographics.com/bremer-county-demographics" xr:uid="{75F4F685-BC45-5C43-9531-1266508B467B}"/>
    <hyperlink ref="B129" r:id="rId27" display="https://www.iowa-demographics.com/mahaska-county-demographics" xr:uid="{12AF3919-8F3A-CD42-A10D-B95A1C9C8439}"/>
    <hyperlink ref="B130" r:id="rId28" display="https://www.iowa-demographics.com/washington-county-demographics" xr:uid="{E5A11F33-F8C9-A14A-9843-F52F360D12EA}"/>
    <hyperlink ref="B131" r:id="rId29" display="https://www.iowa-demographics.com/buchanan-county-demographics" xr:uid="{2C1E5A8F-E326-2649-B3D4-9AEDEA793B22}"/>
    <hyperlink ref="B132" r:id="rId30" display="https://www.iowa-demographics.com/jones-county-demographics" xr:uid="{BBE5391F-4A3B-7348-8A60-301824BBD7A8}"/>
    <hyperlink ref="B133" r:id="rId31" display="https://www.iowa-demographics.com/carroll-county-demographics" xr:uid="{1858C12F-CC75-FB43-9518-E6B2B903EEC4}"/>
    <hyperlink ref="B134" r:id="rId32" display="https://www.iowa-demographics.com/winneshiek-county-demographics" xr:uid="{4EDD4DE7-EAF5-6D46-A57C-4DDB6CA3EE90}"/>
    <hyperlink ref="B135" r:id="rId33" display="https://www.iowa-demographics.com/buena-vista-county-demographics" xr:uid="{0F982742-5AA3-8F4D-B81E-3C3F2EB0F97A}"/>
    <hyperlink ref="B136" r:id="rId34" display="https://www.iowa-demographics.com/henry-county-demographics" xr:uid="{3434751C-D6DC-AC46-90D2-3C8144C09C5C}"/>
    <hyperlink ref="B137" r:id="rId35" display="https://www.iowa-demographics.com/fayette-county-demographics" xr:uid="{B7983305-D49B-1F40-A16E-D4C14BF59628}"/>
    <hyperlink ref="B138" r:id="rId36" display="https://www.iowa-demographics.com/jackson-county-demographics" xr:uid="{BDF72E49-39ED-ED44-B2CD-7C65A85F0D9B}"/>
    <hyperlink ref="B139" r:id="rId37" display="https://www.iowa-demographics.com/cedar-county-demographics" xr:uid="{AEAA15FB-8323-BC48-A35A-512F7DCC6C4F}"/>
    <hyperlink ref="B140" r:id="rId38" display="https://www.iowa-demographics.com/poweshiek-county-demographics" xr:uid="{8DA1E51A-FBC6-1B47-AE0A-499BB29C2DE2}"/>
    <hyperlink ref="B141" r:id="rId39" display="https://www.iowa-demographics.com/jefferson-county-demographics" xr:uid="{342F6D1C-ED5D-0942-973A-06A0C9FA221A}"/>
    <hyperlink ref="B142" r:id="rId40" display="https://www.iowa-demographics.com/clayton-county-demographics" xr:uid="{88C39868-1C0E-354B-BABF-7FD1D2922962}"/>
    <hyperlink ref="B143" r:id="rId41" display="https://www.iowa-demographics.com/dickinson-county-demographics" xr:uid="{22EA3730-EB86-984A-8238-713013FEE45A}"/>
    <hyperlink ref="B144" r:id="rId42" display="https://www.iowa-demographics.com/delaware-county-demographics" xr:uid="{36527A7B-C9E8-384E-B64A-142D7156316E}"/>
    <hyperlink ref="B145" r:id="rId43" display="https://www.iowa-demographics.com/crawford-county-demographics" xr:uid="{89B10DB3-DB17-6B49-AD1F-4DE12DF79AF0}"/>
    <hyperlink ref="B146" r:id="rId44" display="https://www.iowa-demographics.com/tama-county-demographics" xr:uid="{C7798AB3-09FA-EF4E-AB60-61FDE14E4065}"/>
    <hyperlink ref="B147" r:id="rId45" display="https://www.iowa-demographics.com/hardin-county-demographics" xr:uid="{F4EB8745-1F8A-AB42-AB41-2F43010EC026}"/>
    <hyperlink ref="B148" r:id="rId46" display="https://www.iowa-demographics.com/iowa-county-demographics" xr:uid="{5768D9A6-5FC5-2249-90D8-54DE6B93B559}"/>
    <hyperlink ref="B149" r:id="rId47" display="https://www.iowa-demographics.com/madison-county-demographics" xr:uid="{9D571C7D-956E-704F-B9DA-7253C864F829}"/>
    <hyperlink ref="B150" r:id="rId48" display="https://www.iowa-demographics.com/clay-county-demographics" xr:uid="{C7C4D53D-24E2-5044-B30F-AB81645E9E77}"/>
    <hyperlink ref="B151" r:id="rId49" display="https://www.iowa-demographics.com/floyd-county-demographics" xr:uid="{17324E81-B496-AB49-856B-01171AC0F329}"/>
    <hyperlink ref="B152" r:id="rId50" display="https://www.iowa-demographics.com/page-county-demographics" xr:uid="{9B4B8584-9AC4-1340-B51D-94D6AECFB62F}"/>
    <hyperlink ref="B153" r:id="rId51" display="https://www.iowa-demographics.com/mills-county-demographics" xr:uid="{FFFB002A-A52C-5040-8F68-E5C1F86601D2}"/>
    <hyperlink ref="B154" r:id="rId52" display="https://www.iowa-demographics.com/hamilton-county-demographics" xr:uid="{224EE08A-44F8-E940-93A7-E94880835FDB}"/>
    <hyperlink ref="B155" r:id="rId53" display="https://www.iowa-demographics.com/kossuth-county-demographics" xr:uid="{4E02FE5F-7DE1-5345-8369-5658BE606515}"/>
    <hyperlink ref="B156" r:id="rId54" display="https://www.iowa-demographics.com/butler-county-demographics" xr:uid="{40C4581D-BC4D-F344-B7AB-13A241D13B79}"/>
    <hyperlink ref="B157" r:id="rId55" display="https://www.iowa-demographics.com/harrison-county-demographics" xr:uid="{6ABBCA43-9747-E24C-AF83-28CD4B854725}"/>
    <hyperlink ref="B158" r:id="rId56" display="https://www.iowa-demographics.com/o-brien-county-demographics" xr:uid="{BD955AF1-3253-8C47-BAA5-7CB9B7BA0AE9}"/>
    <hyperlink ref="B159" r:id="rId57" display="https://www.iowa-demographics.com/allamakee-county-demographics" xr:uid="{39AB8F23-8FE5-DC4A-B687-AD20F6A67BFA}"/>
    <hyperlink ref="B160" r:id="rId58" display="https://www.iowa-demographics.com/cass-county-demographics" xr:uid="{6A85FA92-3C0A-C34E-A366-BB5DC017397B}"/>
    <hyperlink ref="B161" r:id="rId59" display="https://www.iowa-demographics.com/wright-county-demographics" xr:uid="{B1CB5C78-E12D-904D-8750-71559881A1BD}"/>
    <hyperlink ref="B162" r:id="rId60" display="https://www.iowa-demographics.com/appanoose-county-demographics" xr:uid="{C6BA8298-CC72-EF4D-8DF7-4B9C72FFF32A}"/>
    <hyperlink ref="B163" r:id="rId61" display="https://www.iowa-demographics.com/union-county-demographics" xr:uid="{BFA9C8E3-9D37-BA45-99AC-EC7084B03ACA}"/>
    <hyperlink ref="B164" r:id="rId62" display="https://www.iowa-demographics.com/grundy-county-demographics" xr:uid="{29669110-F583-5244-B4AB-4D2760F5EF13}"/>
    <hyperlink ref="B165" r:id="rId63" display="https://www.iowa-demographics.com/chickasaw-county-demographics" xr:uid="{20AF5218-C659-1348-A53D-F5B5084159D3}"/>
    <hyperlink ref="B166" r:id="rId64" display="https://www.iowa-demographics.com/lyon-county-demographics" xr:uid="{1AE5615A-800A-204E-B652-6084240AFFE2}"/>
    <hyperlink ref="B167" r:id="rId65" display="https://www.iowa-demographics.com/shelby-county-demographics" xr:uid="{30DB4B9C-C67B-FA4D-B076-CCBA37A8BFF5}"/>
    <hyperlink ref="B168" r:id="rId66" display="https://www.iowa-demographics.com/cherokee-county-demographics" xr:uid="{2A8B60A7-4B0F-8445-8819-55C7D00F5ACC}"/>
    <hyperlink ref="B169" r:id="rId67" display="https://www.iowa-demographics.com/louisa-county-demographics" xr:uid="{66E74F25-4610-6E4C-8D19-6EF24AC6E5A6}"/>
    <hyperlink ref="B170" r:id="rId68" display="https://www.iowa-demographics.com/hancock-county-demographics" xr:uid="{A0874E8E-EADD-AC4F-A3CF-980B7205EA13}"/>
    <hyperlink ref="B171" r:id="rId69" display="https://www.iowa-demographics.com/guthrie-county-demographics" xr:uid="{3D7ED085-B5CD-6B4D-85A1-3AE1F9027FD6}"/>
    <hyperlink ref="B172" r:id="rId70" display="https://www.iowa-demographics.com/mitchell-county-demographics" xr:uid="{5B4F84BE-52F4-A244-8004-85A94D875EAC}"/>
    <hyperlink ref="B173" r:id="rId71" display="https://www.iowa-demographics.com/winnebago-county-demographics" xr:uid="{7553C23D-5569-7944-B253-63106ECF9EC5}"/>
    <hyperlink ref="B174" r:id="rId72" display="https://www.iowa-demographics.com/keokuk-county-demographics" xr:uid="{33968AD7-BA81-7E43-AA06-468730F9576B}"/>
    <hyperlink ref="B175" r:id="rId73" display="https://www.iowa-demographics.com/franklin-county-demographics" xr:uid="{8E6DE218-38FD-D143-816D-CE93EEFB4BC7}"/>
    <hyperlink ref="B176" r:id="rId74" display="https://www.iowa-demographics.com/montgomery-county-demographics" xr:uid="{969776F6-EEBD-354F-8A4F-AAEC0E222D8F}"/>
    <hyperlink ref="B177" r:id="rId75" display="https://www.iowa-demographics.com/sac-county-demographics" xr:uid="{649DF54B-CF4A-0B4E-BCD4-9B461659598A}"/>
    <hyperlink ref="B178" r:id="rId76" display="https://www.iowa-demographics.com/calhoun-county-demographics" xr:uid="{374211F7-746E-DC4E-AD4F-97E5E8E31F47}"/>
    <hyperlink ref="B179" r:id="rId77" display="https://www.iowa-demographics.com/humboldt-county-demographics" xr:uid="{9342480E-1ECC-F04C-807D-85C3A145F8BD}"/>
    <hyperlink ref="B180" r:id="rId78" display="https://www.iowa-demographics.com/clarke-county-demographics" xr:uid="{B799E6DC-1591-EC48-A031-4E256A579645}"/>
    <hyperlink ref="B181" r:id="rId79" display="https://www.iowa-demographics.com/emmet-county-demographics" xr:uid="{B43E3FDE-5465-AD47-B112-4C9F73B33DCA}"/>
    <hyperlink ref="B182" r:id="rId80" display="https://www.iowa-demographics.com/howard-county-demographics" xr:uid="{E1C548B9-4F8E-FA46-93FF-111277F0302D}"/>
    <hyperlink ref="B183" r:id="rId81" display="https://www.iowa-demographics.com/davis-county-demographics" xr:uid="{6A67540D-74F5-F54B-8424-42CFB6D4D22D}"/>
    <hyperlink ref="B184" r:id="rId82" display="https://www.iowa-demographics.com/palo-alto-county-demographics" xr:uid="{F4E71D95-EE32-C348-9969-7E1FEC4AE81A}"/>
    <hyperlink ref="B185" r:id="rId83" display="https://www.iowa-demographics.com/greene-county-demographics" xr:uid="{D6F623B9-FC07-464F-994B-CAC25CFF3379}"/>
    <hyperlink ref="B186" r:id="rId84" display="https://www.iowa-demographics.com/monona-county-demographics" xr:uid="{DF1A0A70-1772-FF41-811B-514420F14352}"/>
    <hyperlink ref="B187" r:id="rId85" display="https://www.iowa-demographics.com/lucas-county-demographics" xr:uid="{318B9FBE-797A-9445-A6FB-E49DCF82EC5F}"/>
    <hyperlink ref="B188" r:id="rId86" display="https://www.iowa-demographics.com/decatur-county-demographics" xr:uid="{24454F13-DDC6-2845-AED6-6CE801A24409}"/>
    <hyperlink ref="B189" r:id="rId87" display="https://www.iowa-demographics.com/monroe-county-demographics" xr:uid="{71FD451D-DF29-EB49-905D-898075C3C4CD}"/>
    <hyperlink ref="B190" r:id="rId88" display="https://www.iowa-demographics.com/worth-county-demographics" xr:uid="{447EFBD5-6859-404A-B1F0-2149D6AAF63D}"/>
    <hyperlink ref="B191" r:id="rId89" display="https://www.iowa-demographics.com/van-buren-county-demographics" xr:uid="{02FDBC44-77D5-E348-A519-FC8BEEBE107B}"/>
    <hyperlink ref="B192" r:id="rId90" display="https://www.iowa-demographics.com/adair-county-demographics" xr:uid="{05126D8B-BEAB-674B-8C7B-3FAA29420DF3}"/>
    <hyperlink ref="B193" r:id="rId91" display="https://www.iowa-demographics.com/fremont-county-demographics" xr:uid="{E2779688-E361-2343-BC11-CAA26E9C6AF1}"/>
    <hyperlink ref="B194" r:id="rId92" display="https://www.iowa-demographics.com/ida-county-demographics" xr:uid="{A3359721-F166-004E-87F7-40CB932BF522}"/>
    <hyperlink ref="B195" r:id="rId93" display="https://www.iowa-demographics.com/pocahontas-county-demographics" xr:uid="{1A8E3629-8012-434F-97B3-49D9824A32DA}"/>
    <hyperlink ref="B196" r:id="rId94" display="https://www.iowa-demographics.com/wayne-county-demographics" xr:uid="{61D0220C-FF08-8C4E-BCBE-B311E40D7D12}"/>
    <hyperlink ref="B197" r:id="rId95" display="https://www.iowa-demographics.com/taylor-county-demographics" xr:uid="{C5CBD7B5-F393-0642-AA0C-770CE315E509}"/>
    <hyperlink ref="B198" r:id="rId96" display="https://www.iowa-demographics.com/osceola-county-demographics" xr:uid="{37C954C6-964A-B94B-86FE-0FED26B6BA28}"/>
    <hyperlink ref="B199" r:id="rId97" display="https://www.iowa-demographics.com/audubon-county-demographics" xr:uid="{D4B0DD8D-6CDC-9445-AC2D-C2CB849CF7BD}"/>
    <hyperlink ref="B200" r:id="rId98" display="https://www.iowa-demographics.com/ringgold-county-demographics" xr:uid="{6ACE6F43-468A-B44C-B1FA-ACA9D037F934}"/>
    <hyperlink ref="B201" r:id="rId99" display="https://www.iowa-demographics.com/adams-county-demographics" xr:uid="{2CCC7E4E-9DD9-0C44-879D-5E6336AA7117}"/>
  </hyperlinks>
  <pageMargins left="0.7" right="0.7" top="0.75" bottom="0.75" header="0.3" footer="0.3"/>
  <tableParts count="3">
    <tablePart r:id="rId100"/>
    <tablePart r:id="rId101"/>
    <tablePart r:id="rId10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AB76-A6C2-714F-8ADB-840DAE56F6B3}">
  <dimension ref="A1:R51"/>
  <sheetViews>
    <sheetView topLeftCell="B1" workbookViewId="0">
      <selection activeCell="Q2" sqref="Q2:Q4"/>
    </sheetView>
  </sheetViews>
  <sheetFormatPr baseColWidth="10" defaultRowHeight="13"/>
  <cols>
    <col min="1" max="1" width="14.1640625" customWidth="1"/>
    <col min="2" max="2" width="12.83203125" customWidth="1"/>
    <col min="3" max="3" width="17.33203125" customWidth="1"/>
    <col min="7" max="7" width="12.1640625" customWidth="1"/>
    <col min="8" max="8" width="17.33203125" customWidth="1"/>
    <col min="9" max="9" width="17.33203125" style="1" customWidth="1"/>
    <col min="10" max="10" width="14.5" customWidth="1"/>
    <col min="11" max="11" width="18.33203125" customWidth="1"/>
    <col min="12" max="12" width="18.33203125" style="1" customWidth="1"/>
    <col min="13" max="13" width="15.5" customWidth="1"/>
  </cols>
  <sheetData>
    <row r="1" spans="1:18" ht="21">
      <c r="A1" s="93" t="s">
        <v>64</v>
      </c>
      <c r="B1" s="93" t="s">
        <v>1712</v>
      </c>
      <c r="C1" s="93" t="s">
        <v>1674</v>
      </c>
      <c r="D1" s="93" t="s">
        <v>1</v>
      </c>
      <c r="E1" s="93" t="s">
        <v>1677</v>
      </c>
      <c r="G1" s="15" t="s">
        <v>165</v>
      </c>
      <c r="H1" s="15" t="s">
        <v>168</v>
      </c>
      <c r="I1" s="15" t="s">
        <v>1677</v>
      </c>
      <c r="J1" s="15" t="s">
        <v>169</v>
      </c>
      <c r="K1" s="15" t="s">
        <v>166</v>
      </c>
      <c r="L1" s="15" t="s">
        <v>1687</v>
      </c>
      <c r="M1" s="15" t="s">
        <v>167</v>
      </c>
      <c r="N1" s="15" t="s">
        <v>62</v>
      </c>
      <c r="Q1" t="s">
        <v>267</v>
      </c>
      <c r="R1" t="s">
        <v>328</v>
      </c>
    </row>
    <row r="2" spans="1:18" ht="20">
      <c r="A2" s="78" t="s">
        <v>1713</v>
      </c>
      <c r="B2" s="78" t="s">
        <v>1714</v>
      </c>
      <c r="C2" s="78" t="s">
        <v>297</v>
      </c>
      <c r="D2" s="78">
        <v>93</v>
      </c>
      <c r="E2" s="78">
        <f>Table49[[#This Row],[2020]]/C28</f>
        <v>1.3098222585279289E-3</v>
      </c>
      <c r="G2" s="16" t="s">
        <v>1740</v>
      </c>
      <c r="H2" s="17">
        <v>9158</v>
      </c>
      <c r="I2" s="80">
        <f>Table51[[#This Row],[BIDEN VOTES]]/C28</f>
        <v>0.1289822821892341</v>
      </c>
      <c r="J2" s="18">
        <v>0.3</v>
      </c>
      <c r="K2" s="17">
        <v>20886</v>
      </c>
      <c r="L2" s="80">
        <f>Table51[[#This Row],[TRUMP VOTES]]/C28</f>
        <v>0.29416072786682063</v>
      </c>
      <c r="M2" s="18">
        <v>0.68500000000000005</v>
      </c>
      <c r="N2" s="82">
        <f>1-(Table51[[#This Row],[NbP]]+Table51[[#This Row],[NbP2]])</f>
        <v>0.5768569899439453</v>
      </c>
      <c r="P2" t="s">
        <v>1672</v>
      </c>
      <c r="Q2">
        <f>CORREL(E:E,I:I)</f>
        <v>-0.47687916895455829</v>
      </c>
      <c r="R2">
        <v>0.1</v>
      </c>
    </row>
    <row r="3" spans="1:18" ht="20">
      <c r="A3" s="78" t="s">
        <v>1715</v>
      </c>
      <c r="B3" s="78" t="s">
        <v>1714</v>
      </c>
      <c r="C3" s="78" t="s">
        <v>297</v>
      </c>
      <c r="D3" s="78">
        <v>775</v>
      </c>
      <c r="E3" s="78">
        <f>Table49[[#This Row],[2020]]/C29</f>
        <v>1.3468399658684684E-3</v>
      </c>
      <c r="G3" s="16" t="s">
        <v>1732</v>
      </c>
      <c r="H3" s="17">
        <v>172823</v>
      </c>
      <c r="I3" s="80">
        <f>Table51[[#This Row],[BIDEN VOTES]]/C29</f>
        <v>0.30034183667262754</v>
      </c>
      <c r="J3" s="18">
        <v>0.56299999999999994</v>
      </c>
      <c r="K3" s="17">
        <v>127821</v>
      </c>
      <c r="L3" s="80">
        <f>Table51[[#This Row],[TRUMP VOTES]]/C29</f>
        <v>0.22213475003519162</v>
      </c>
      <c r="M3" s="18">
        <v>0.41599999999999998</v>
      </c>
      <c r="N3" s="82">
        <f>1-(Table51[[#This Row],[NbP]]+Table51[[#This Row],[NbP2]])</f>
        <v>0.47752341329218084</v>
      </c>
      <c r="P3" t="s">
        <v>1671</v>
      </c>
      <c r="Q3" s="37">
        <f>CORREL(E:E,L:L)</f>
        <v>0.17539791003160954</v>
      </c>
      <c r="R3" s="1">
        <v>0.1</v>
      </c>
    </row>
    <row r="4" spans="1:18" ht="20">
      <c r="A4" s="78" t="s">
        <v>1716</v>
      </c>
      <c r="B4" s="78" t="s">
        <v>1714</v>
      </c>
      <c r="C4" s="78" t="s">
        <v>297</v>
      </c>
      <c r="D4" s="94">
        <v>1721</v>
      </c>
      <c r="E4" s="78">
        <f>Table49[[#This Row],[2020]]/C30</f>
        <v>2.8575033954645226E-3</v>
      </c>
      <c r="G4" s="16" t="s">
        <v>1747</v>
      </c>
      <c r="H4" s="17">
        <v>207260</v>
      </c>
      <c r="I4" s="80">
        <f>Table51[[#This Row],[BIDEN VOTES]]/C30</f>
        <v>0.34412908410457699</v>
      </c>
      <c r="J4" s="18">
        <v>0.878</v>
      </c>
      <c r="K4" s="17">
        <v>25374</v>
      </c>
      <c r="L4" s="80">
        <f>Table51[[#This Row],[TRUMP VOTES]]/C30</f>
        <v>4.2130326064216621E-2</v>
      </c>
      <c r="M4" s="18">
        <v>0.107</v>
      </c>
      <c r="N4" s="82">
        <f>1-(Table51[[#This Row],[NbP]]+Table51[[#This Row],[NbP2]])</f>
        <v>0.61374058983120638</v>
      </c>
      <c r="P4" t="s">
        <v>1679</v>
      </c>
      <c r="Q4">
        <f>CORREL(E:E,N:N)</f>
        <v>0.40228083742499365</v>
      </c>
      <c r="R4" s="1">
        <v>0.1</v>
      </c>
    </row>
    <row r="5" spans="1:18" ht="20">
      <c r="A5" s="78" t="s">
        <v>1717</v>
      </c>
      <c r="B5" s="78" t="s">
        <v>1714</v>
      </c>
      <c r="C5" s="78" t="s">
        <v>297</v>
      </c>
      <c r="D5" s="78">
        <v>714</v>
      </c>
      <c r="E5" s="78">
        <f>Table49[[#This Row],[2020]]/C31</f>
        <v>8.6211788798021716E-4</v>
      </c>
      <c r="G5" s="16" t="s">
        <v>1717</v>
      </c>
      <c r="H5" s="17">
        <v>258409</v>
      </c>
      <c r="I5" s="80">
        <f>Table51[[#This Row],[BIDEN VOTES]]/C31</f>
        <v>0.31201543601551812</v>
      </c>
      <c r="J5" s="18">
        <v>0.627</v>
      </c>
      <c r="K5" s="17">
        <v>146202</v>
      </c>
      <c r="L5" s="80">
        <f>Table51[[#This Row],[TRUMP VOTES]]/C31</f>
        <v>0.17653131576818448</v>
      </c>
      <c r="M5" s="18">
        <v>0.35499999999999998</v>
      </c>
      <c r="N5" s="82">
        <f>1-(Table51[[#This Row],[NbP]]+Table51[[#This Row],[NbP2]])</f>
        <v>0.51145324821629745</v>
      </c>
    </row>
    <row r="6" spans="1:18" ht="20">
      <c r="A6" s="78" t="s">
        <v>1718</v>
      </c>
      <c r="B6" s="78" t="s">
        <v>1714</v>
      </c>
      <c r="C6" s="78" t="s">
        <v>297</v>
      </c>
      <c r="D6" s="78">
        <v>82</v>
      </c>
      <c r="E6" s="78">
        <f>Table49[[#This Row],[2020]]/C32</f>
        <v>8.9039459682498318E-4</v>
      </c>
      <c r="G6" s="16" t="s">
        <v>1739</v>
      </c>
      <c r="H6" s="17">
        <v>22587</v>
      </c>
      <c r="I6" s="80">
        <f>Table51[[#This Row],[BIDEN VOTES]]/C32</f>
        <v>0.24526027754251092</v>
      </c>
      <c r="J6" s="18">
        <v>0.46300000000000002</v>
      </c>
      <c r="K6" s="17">
        <v>25346</v>
      </c>
      <c r="L6" s="80">
        <f>Table51[[#This Row],[TRUMP VOTES]]/C32</f>
        <v>0.27521879818446371</v>
      </c>
      <c r="M6" s="18">
        <v>0.51900000000000002</v>
      </c>
      <c r="N6" s="82">
        <f>1-(Table51[[#This Row],[NbP]]+Table51[[#This Row],[NbP2]])</f>
        <v>0.4795209242730254</v>
      </c>
    </row>
    <row r="7" spans="1:18" ht="20">
      <c r="A7" s="78" t="s">
        <v>1719</v>
      </c>
      <c r="B7" s="78" t="s">
        <v>1714</v>
      </c>
      <c r="C7" s="78" t="s">
        <v>297</v>
      </c>
      <c r="D7" s="78">
        <v>57</v>
      </c>
      <c r="E7" s="78">
        <f>Table49[[#This Row],[2020]]/C33</f>
        <v>1.7137702946482261E-3</v>
      </c>
      <c r="G7" s="16" t="s">
        <v>1743</v>
      </c>
      <c r="H7" s="17">
        <v>5095</v>
      </c>
      <c r="I7" s="80">
        <f>Table51[[#This Row],[BIDEN VOTES]]/C33</f>
        <v>0.1531870114251353</v>
      </c>
      <c r="J7" s="18">
        <v>0.32400000000000001</v>
      </c>
      <c r="K7" s="17">
        <v>10283</v>
      </c>
      <c r="L7" s="80">
        <f>Table51[[#This Row],[TRUMP VOTES]]/C33</f>
        <v>0.30917017438364403</v>
      </c>
      <c r="M7" s="18">
        <v>0.65400000000000003</v>
      </c>
      <c r="N7" s="82">
        <f>1-(Table51[[#This Row],[NbP]]+Table51[[#This Row],[NbP2]])</f>
        <v>0.53764281419122062</v>
      </c>
    </row>
    <row r="8" spans="1:18" ht="20">
      <c r="A8" s="78" t="s">
        <v>79</v>
      </c>
      <c r="B8" s="78" t="s">
        <v>1714</v>
      </c>
      <c r="C8" s="78" t="s">
        <v>297</v>
      </c>
      <c r="D8" s="78">
        <v>226</v>
      </c>
      <c r="E8" s="78">
        <f>Table49[[#This Row],[2020]]/C34</f>
        <v>1.3433749621061266E-3</v>
      </c>
      <c r="G8" s="16" t="s">
        <v>178</v>
      </c>
      <c r="H8" s="17">
        <v>36456</v>
      </c>
      <c r="I8" s="80">
        <f>Table51[[#This Row],[BIDEN VOTES]]/C34</f>
        <v>0.21669945848911926</v>
      </c>
      <c r="J8" s="18">
        <v>0.36699999999999999</v>
      </c>
      <c r="K8" s="17">
        <v>60218</v>
      </c>
      <c r="L8" s="80">
        <f>Table51[[#This Row],[TRUMP VOTES]]/C34</f>
        <v>0.35794404189427759</v>
      </c>
      <c r="M8" s="18">
        <v>0.60599999999999998</v>
      </c>
      <c r="N8" s="82">
        <f>1-(Table51[[#This Row],[NbP]]+Table51[[#This Row],[NbP2]])</f>
        <v>0.42535649961660316</v>
      </c>
    </row>
    <row r="9" spans="1:18" ht="20">
      <c r="A9" s="78" t="s">
        <v>1720</v>
      </c>
      <c r="B9" s="78" t="s">
        <v>1714</v>
      </c>
      <c r="C9" s="78" t="s">
        <v>297</v>
      </c>
      <c r="D9" s="78">
        <v>213</v>
      </c>
      <c r="E9" s="78">
        <f>Table49[[#This Row],[2020]]/C35</f>
        <v>2.0701921488205737E-3</v>
      </c>
      <c r="G9" s="16" t="s">
        <v>1738</v>
      </c>
      <c r="H9" s="17">
        <v>16809</v>
      </c>
      <c r="I9" s="80">
        <f>Table51[[#This Row],[BIDEN VOTES]]/C35</f>
        <v>0.16337023394143202</v>
      </c>
      <c r="J9" s="18">
        <v>0.35599999999999998</v>
      </c>
      <c r="K9" s="17">
        <v>29439</v>
      </c>
      <c r="L9" s="80">
        <f>Table51[[#This Row],[TRUMP VOTES]]/C35</f>
        <v>0.2861238810757224</v>
      </c>
      <c r="M9" s="18">
        <v>0.623</v>
      </c>
      <c r="N9" s="82">
        <f>1-(Table51[[#This Row],[NbP]]+Table51[[#This Row],[NbP2]])</f>
        <v>0.55050588498284558</v>
      </c>
    </row>
    <row r="10" spans="1:18" ht="20">
      <c r="A10" s="78" t="s">
        <v>1721</v>
      </c>
      <c r="B10" s="78" t="s">
        <v>1714</v>
      </c>
      <c r="C10" s="78" t="s">
        <v>297</v>
      </c>
      <c r="D10" s="78">
        <v>145</v>
      </c>
      <c r="E10" s="78">
        <f>Table49[[#This Row],[2020]]/C36</f>
        <v>8.9812199593677217E-4</v>
      </c>
      <c r="G10" s="16" t="s">
        <v>1735</v>
      </c>
      <c r="H10" s="17">
        <v>62171</v>
      </c>
      <c r="I10" s="80">
        <f>Table51[[#This Row],[BIDEN VOTES]]/C36</f>
        <v>0.38508374213369012</v>
      </c>
      <c r="J10" s="18">
        <v>0.69799999999999995</v>
      </c>
      <c r="K10" s="17">
        <v>25579</v>
      </c>
      <c r="L10" s="80">
        <f>Table51[[#This Row],[TRUMP VOTES]]/C36</f>
        <v>0.15843491402804619</v>
      </c>
      <c r="M10" s="18">
        <v>0.28699999999999998</v>
      </c>
      <c r="N10" s="82">
        <f>1-(Table51[[#This Row],[NbP]]+Table51[[#This Row],[NbP2]])</f>
        <v>0.45648134383826366</v>
      </c>
    </row>
    <row r="11" spans="1:18" ht="20">
      <c r="A11" s="78" t="s">
        <v>1722</v>
      </c>
      <c r="B11" s="78" t="s">
        <v>1714</v>
      </c>
      <c r="C11" s="78" t="s">
        <v>297</v>
      </c>
      <c r="D11" s="78">
        <v>66</v>
      </c>
      <c r="E11" s="78">
        <f>Table49[[#This Row],[2020]]/C37</f>
        <v>2.0628867912733636E-3</v>
      </c>
      <c r="G11" s="16" t="s">
        <v>1744</v>
      </c>
      <c r="H11" s="17">
        <v>6857</v>
      </c>
      <c r="I11" s="80">
        <f>Table51[[#This Row],[BIDEN VOTES]]/C37</f>
        <v>0.21432143526911296</v>
      </c>
      <c r="J11" s="18">
        <v>0.43</v>
      </c>
      <c r="K11" s="17">
        <v>8764</v>
      </c>
      <c r="L11" s="80">
        <f>Table51[[#This Row],[TRUMP VOTES]]/C37</f>
        <v>0.27392636119272362</v>
      </c>
      <c r="M11" s="18">
        <v>0.55000000000000004</v>
      </c>
      <c r="N11" s="82">
        <f>1-(Table51[[#This Row],[NbP]]+Table51[[#This Row],[NbP2]])</f>
        <v>0.51175220353816342</v>
      </c>
    </row>
    <row r="12" spans="1:18" ht="20">
      <c r="A12" s="78" t="s">
        <v>1723</v>
      </c>
      <c r="B12" s="78" t="s">
        <v>1714</v>
      </c>
      <c r="C12" s="78" t="s">
        <v>297</v>
      </c>
      <c r="D12" s="78">
        <v>281</v>
      </c>
      <c r="E12" s="78">
        <f>Table49[[#This Row],[2020]]/C38</f>
        <v>1.0978492313101912E-3</v>
      </c>
      <c r="G12" s="16" t="s">
        <v>1733</v>
      </c>
      <c r="H12" s="17">
        <v>77675</v>
      </c>
      <c r="I12" s="80">
        <f>Table51[[#This Row],[BIDEN VOTES]]/C38</f>
        <v>0.30347131331679394</v>
      </c>
      <c r="J12" s="18">
        <v>0.53700000000000003</v>
      </c>
      <c r="K12" s="17">
        <v>63682</v>
      </c>
      <c r="L12" s="80">
        <f>Table51[[#This Row],[TRUMP VOTES]]/C38</f>
        <v>0.24880154714695943</v>
      </c>
      <c r="M12" s="18">
        <v>0.44</v>
      </c>
      <c r="N12" s="82">
        <f>1-(Table51[[#This Row],[NbP]]+Table51[[#This Row],[NbP2]])</f>
        <v>0.44772713953624665</v>
      </c>
    </row>
    <row r="13" spans="1:18" ht="20">
      <c r="A13" s="78" t="s">
        <v>1724</v>
      </c>
      <c r="B13" s="78" t="s">
        <v>1714</v>
      </c>
      <c r="C13" s="78" t="s">
        <v>297</v>
      </c>
      <c r="D13" s="78">
        <v>75</v>
      </c>
      <c r="E13" s="78">
        <f>Table49[[#This Row],[2020]]/C39</f>
        <v>2.5724575544503517E-3</v>
      </c>
      <c r="G13" s="16" t="s">
        <v>1745</v>
      </c>
      <c r="H13" s="17">
        <v>3281</v>
      </c>
      <c r="I13" s="80">
        <f>Table51[[#This Row],[BIDEN VOTES]]/C39</f>
        <v>0.11253644314868805</v>
      </c>
      <c r="J13" s="18">
        <v>0.21099999999999999</v>
      </c>
      <c r="K13" s="17">
        <v>12002</v>
      </c>
      <c r="L13" s="80">
        <f>Table51[[#This Row],[TRUMP VOTES]]/C39</f>
        <v>0.41166180758017495</v>
      </c>
      <c r="M13" s="18">
        <v>0.77</v>
      </c>
      <c r="N13" s="82">
        <f>1-(Table51[[#This Row],[NbP]]+Table51[[#This Row],[NbP2]])</f>
        <v>0.47580174927113705</v>
      </c>
    </row>
    <row r="14" spans="1:18" ht="20">
      <c r="A14" s="78" t="s">
        <v>1725</v>
      </c>
      <c r="B14" s="78" t="s">
        <v>1714</v>
      </c>
      <c r="C14" s="78" t="s">
        <v>297</v>
      </c>
      <c r="D14" s="78">
        <v>535</v>
      </c>
      <c r="E14" s="78">
        <f>Table49[[#This Row],[2020]]/C40</f>
        <v>2.108490714758647E-3</v>
      </c>
      <c r="G14" s="16" t="s">
        <v>1734</v>
      </c>
      <c r="H14" s="17">
        <v>63095</v>
      </c>
      <c r="I14" s="80">
        <f>Table51[[#This Row],[BIDEN VOTES]]/C40</f>
        <v>0.24866396569662957</v>
      </c>
      <c r="J14" s="18">
        <v>0.42899999999999999</v>
      </c>
      <c r="K14" s="17">
        <v>80930</v>
      </c>
      <c r="L14" s="80">
        <f>Table51[[#This Row],[TRUMP VOTES]]/C40</f>
        <v>0.31895355802881736</v>
      </c>
      <c r="M14" s="18">
        <v>0.55000000000000004</v>
      </c>
      <c r="N14" s="82">
        <f>1-(Table51[[#This Row],[NbP]]+Table51[[#This Row],[NbP2]])</f>
        <v>0.43238247627455306</v>
      </c>
    </row>
    <row r="15" spans="1:18" ht="20">
      <c r="A15" s="78" t="s">
        <v>661</v>
      </c>
      <c r="B15" s="78" t="s">
        <v>1714</v>
      </c>
      <c r="C15" s="78" t="s">
        <v>297</v>
      </c>
      <c r="D15" s="78">
        <v>188</v>
      </c>
      <c r="E15" s="78">
        <f>Table49[[#This Row],[2020]]/C41</f>
        <v>5.8311389020709848E-4</v>
      </c>
      <c r="G15" s="16" t="s">
        <v>434</v>
      </c>
      <c r="H15" s="17">
        <v>129433</v>
      </c>
      <c r="I15" s="80">
        <f>Table51[[#This Row],[BIDEN VOTES]]/C41</f>
        <v>0.40145840505944352</v>
      </c>
      <c r="J15" s="18">
        <v>0.71399999999999997</v>
      </c>
      <c r="K15" s="17">
        <v>48390</v>
      </c>
      <c r="L15" s="80">
        <f>Table51[[#This Row],[TRUMP VOTES]]/C41</f>
        <v>0.15008979333575265</v>
      </c>
      <c r="M15" s="18">
        <v>0.26700000000000002</v>
      </c>
      <c r="N15" s="82">
        <f>1-(Table51[[#This Row],[NbP]]+Table51[[#This Row],[NbP2]])</f>
        <v>0.4484518016048038</v>
      </c>
    </row>
    <row r="16" spans="1:18" ht="20">
      <c r="A16" s="78" t="s">
        <v>676</v>
      </c>
      <c r="B16" s="78" t="s">
        <v>1714</v>
      </c>
      <c r="C16" s="78" t="s">
        <v>297</v>
      </c>
      <c r="D16" s="78">
        <v>34</v>
      </c>
      <c r="E16" s="78">
        <f>Table49[[#This Row],[2020]]/C42</f>
        <v>1.7475328947368421E-3</v>
      </c>
      <c r="G16" s="16" t="s">
        <v>449</v>
      </c>
      <c r="H16" s="17">
        <v>5329</v>
      </c>
      <c r="I16" s="80">
        <f>Table51[[#This Row],[BIDEN VOTES]]/C42</f>
        <v>0.27390008223684209</v>
      </c>
      <c r="J16" s="18">
        <v>0.496</v>
      </c>
      <c r="K16" s="17">
        <v>5195</v>
      </c>
      <c r="L16" s="80">
        <f>Table51[[#This Row],[TRUMP VOTES]]/C42</f>
        <v>0.26701274671052633</v>
      </c>
      <c r="M16" s="18">
        <v>0.48399999999999999</v>
      </c>
      <c r="N16" s="82">
        <f>1-(Table51[[#This Row],[NbP]]+Table51[[#This Row],[NbP2]])</f>
        <v>0.45908717105263164</v>
      </c>
    </row>
    <row r="17" spans="1:14" ht="20">
      <c r="A17" s="78" t="s">
        <v>133</v>
      </c>
      <c r="B17" s="78" t="s">
        <v>1714</v>
      </c>
      <c r="C17" s="78" t="s">
        <v>297</v>
      </c>
      <c r="D17" s="78">
        <v>731</v>
      </c>
      <c r="E17" s="78">
        <f>Table49[[#This Row],[2020]]/C43</f>
        <v>6.9774478576562458E-4</v>
      </c>
      <c r="G17" s="16" t="s">
        <v>232</v>
      </c>
      <c r="H17" s="17">
        <v>419569</v>
      </c>
      <c r="I17" s="80">
        <f>Table51[[#This Row],[BIDEN VOTES]]/C43</f>
        <v>0.40048164434869676</v>
      </c>
      <c r="J17" s="18">
        <v>0.79200000000000004</v>
      </c>
      <c r="K17" s="17">
        <v>101222</v>
      </c>
      <c r="L17" s="80">
        <f>Table51[[#This Row],[TRUMP VOTES]]/C43</f>
        <v>9.6617130923075306E-2</v>
      </c>
      <c r="M17" s="18">
        <v>0.191</v>
      </c>
      <c r="N17" s="82">
        <f>1-(Table51[[#This Row],[NbP]]+Table51[[#This Row],[NbP2]])</f>
        <v>0.50290122472822796</v>
      </c>
    </row>
    <row r="18" spans="1:14" ht="20">
      <c r="A18" s="78" t="s">
        <v>1726</v>
      </c>
      <c r="B18" s="78" t="s">
        <v>1714</v>
      </c>
      <c r="C18" s="78" t="s">
        <v>297</v>
      </c>
      <c r="D18" s="94">
        <v>1043</v>
      </c>
      <c r="E18" s="78">
        <f>Table49[[#This Row],[2020]]/C44</f>
        <v>1.1454602762503143E-3</v>
      </c>
      <c r="G18" s="16" t="s">
        <v>1730</v>
      </c>
      <c r="H18" s="17">
        <v>379208</v>
      </c>
      <c r="I18" s="80">
        <f>Table51[[#This Row],[BIDEN VOTES]]/C44</f>
        <v>0.41645992371651891</v>
      </c>
      <c r="J18" s="18">
        <v>0.89700000000000002</v>
      </c>
      <c r="K18" s="17">
        <v>37090</v>
      </c>
      <c r="L18" s="80">
        <f>Table51[[#This Row],[TRUMP VOTES]]/C44</f>
        <v>4.0733577800694303E-2</v>
      </c>
      <c r="M18" s="18">
        <v>8.7999999999999995E-2</v>
      </c>
      <c r="N18" s="82">
        <f>1-(Table51[[#This Row],[NbP]]+Table51[[#This Row],[NbP2]])</f>
        <v>0.54280649848278673</v>
      </c>
    </row>
    <row r="19" spans="1:14" ht="20">
      <c r="A19" s="78" t="s">
        <v>1727</v>
      </c>
      <c r="B19" s="78" t="s">
        <v>1714</v>
      </c>
      <c r="C19" s="78" t="s">
        <v>297</v>
      </c>
      <c r="D19" s="78">
        <v>37</v>
      </c>
      <c r="E19" s="78">
        <f>Table49[[#This Row],[2020]]/C45</f>
        <v>7.3759543886928614E-4</v>
      </c>
      <c r="G19" s="16" t="s">
        <v>1742</v>
      </c>
      <c r="H19" s="17">
        <v>10709</v>
      </c>
      <c r="I19" s="80">
        <f>Table51[[#This Row],[BIDEN VOTES]]/C45</f>
        <v>0.213484042023005</v>
      </c>
      <c r="J19" s="18">
        <v>0.35599999999999998</v>
      </c>
      <c r="K19" s="17">
        <v>18741</v>
      </c>
      <c r="L19" s="80">
        <f>Table51[[#This Row],[TRUMP VOTES]]/C45</f>
        <v>0.3736020572932241</v>
      </c>
      <c r="M19" s="18">
        <v>0.623</v>
      </c>
      <c r="N19" s="82">
        <f>1-(Table51[[#This Row],[NbP]]+Table51[[#This Row],[NbP2]])</f>
        <v>0.41291390068377087</v>
      </c>
    </row>
    <row r="20" spans="1:14" ht="20">
      <c r="A20" s="78" t="s">
        <v>818</v>
      </c>
      <c r="B20" s="78" t="s">
        <v>1714</v>
      </c>
      <c r="C20" s="78" t="s">
        <v>297</v>
      </c>
      <c r="D20" s="78">
        <v>52</v>
      </c>
      <c r="E20" s="78">
        <f>Table49[[#This Row],[2020]]/C46</f>
        <v>2.0234250359936184E-3</v>
      </c>
      <c r="G20" s="16" t="s">
        <v>800</v>
      </c>
      <c r="H20" s="17">
        <v>4241</v>
      </c>
      <c r="I20" s="80">
        <f>Table51[[#This Row],[BIDEN VOTES]]/C46</f>
        <v>0.16502587649324876</v>
      </c>
      <c r="J20" s="18">
        <v>0.41899999999999998</v>
      </c>
      <c r="K20" s="17">
        <v>5739</v>
      </c>
      <c r="L20" s="80">
        <f>Table51[[#This Row],[TRUMP VOTES]]/C46</f>
        <v>0.22331608233783415</v>
      </c>
      <c r="M20" s="18">
        <v>0.56699999999999995</v>
      </c>
      <c r="N20" s="82">
        <f>1-(Table51[[#This Row],[NbP]]+Table51[[#This Row],[NbP2]])</f>
        <v>0.61165804116891709</v>
      </c>
    </row>
    <row r="21" spans="1:14" ht="20">
      <c r="A21" s="78" t="s">
        <v>1748</v>
      </c>
      <c r="B21" s="78" t="s">
        <v>1714</v>
      </c>
      <c r="C21" s="78" t="s">
        <v>297</v>
      </c>
      <c r="D21" s="78">
        <v>103</v>
      </c>
      <c r="E21" s="78">
        <f>Table49[[#This Row],[2020]]/C47</f>
        <v>9.1003869873301411E-4</v>
      </c>
      <c r="G21" s="16" t="s">
        <v>1736</v>
      </c>
      <c r="H21" s="17">
        <v>23138</v>
      </c>
      <c r="I21" s="80">
        <f>Table51[[#This Row],[BIDEN VOTES]]/C47</f>
        <v>0.20443180010955805</v>
      </c>
      <c r="J21" s="18">
        <v>0.41799999999999998</v>
      </c>
      <c r="K21" s="17">
        <v>30826</v>
      </c>
      <c r="L21" s="80">
        <f>Table51[[#This Row],[TRUMP VOTES]]/C47</f>
        <v>0.27235779540916399</v>
      </c>
      <c r="M21" s="18">
        <v>0.55700000000000005</v>
      </c>
      <c r="N21" s="82">
        <f>1-(Table51[[#This Row],[NbP]]+Table51[[#This Row],[NbP2]])</f>
        <v>0.52321040448127798</v>
      </c>
    </row>
    <row r="22" spans="1:14" ht="20">
      <c r="A22" s="78" t="s">
        <v>1286</v>
      </c>
      <c r="B22" s="78" t="s">
        <v>1714</v>
      </c>
      <c r="C22" s="78" t="s">
        <v>297</v>
      </c>
      <c r="D22" s="78">
        <v>46</v>
      </c>
      <c r="E22" s="78">
        <f>Table49[[#This Row],[2020]]/C48</f>
        <v>1.2403267991479493E-3</v>
      </c>
      <c r="G22" s="16" t="s">
        <v>1379</v>
      </c>
      <c r="H22" s="17">
        <v>11062</v>
      </c>
      <c r="I22" s="80">
        <f>Table51[[#This Row],[BIDEN VOTES]]/C48</f>
        <v>0.29827163156901337</v>
      </c>
      <c r="J22" s="18">
        <v>0.49399999999999999</v>
      </c>
      <c r="K22" s="17">
        <v>10946</v>
      </c>
      <c r="L22" s="80">
        <f>Table51[[#This Row],[TRUMP VOTES]]/C48</f>
        <v>0.29514385094507511</v>
      </c>
      <c r="M22" s="18">
        <v>0.48899999999999999</v>
      </c>
      <c r="N22" s="82">
        <f>1-(Table51[[#This Row],[NbP]]+Table51[[#This Row],[NbP2]])</f>
        <v>0.40658451748591151</v>
      </c>
    </row>
    <row r="23" spans="1:14" ht="20">
      <c r="A23" s="78" t="s">
        <v>38</v>
      </c>
      <c r="B23" s="78" t="s">
        <v>1714</v>
      </c>
      <c r="C23" s="78" t="s">
        <v>297</v>
      </c>
      <c r="D23" s="78">
        <v>382</v>
      </c>
      <c r="E23" s="78">
        <f>Table49[[#This Row],[2020]]/C49</f>
        <v>2.5369417233936575E-3</v>
      </c>
      <c r="G23" s="16" t="s">
        <v>258</v>
      </c>
      <c r="H23" s="17">
        <v>26044</v>
      </c>
      <c r="I23" s="80">
        <f>Table51[[#This Row],[BIDEN VOTES]]/C49</f>
        <v>0.17296363938236758</v>
      </c>
      <c r="J23" s="18">
        <v>0.38600000000000001</v>
      </c>
      <c r="K23" s="17">
        <v>40224</v>
      </c>
      <c r="L23" s="80">
        <f>Table51[[#This Row],[TRUMP VOTES]]/C49</f>
        <v>0.26713597874813216</v>
      </c>
      <c r="M23" s="18">
        <v>0.59599999999999997</v>
      </c>
      <c r="N23" s="82">
        <f>1-(Table51[[#This Row],[NbP]]+Table51[[#This Row],[NbP2]])</f>
        <v>0.55990038186950031</v>
      </c>
    </row>
    <row r="24" spans="1:14" ht="20">
      <c r="A24" s="78" t="s">
        <v>1728</v>
      </c>
      <c r="B24" s="78" t="s">
        <v>1714</v>
      </c>
      <c r="C24" s="78" t="s">
        <v>297</v>
      </c>
      <c r="D24" s="78">
        <v>272</v>
      </c>
      <c r="E24" s="78">
        <f>Table49[[#This Row],[2020]]/C50</f>
        <v>2.6350971692081144E-3</v>
      </c>
      <c r="G24" s="16" t="s">
        <v>1737</v>
      </c>
      <c r="H24" s="17">
        <v>22054</v>
      </c>
      <c r="I24" s="80">
        <f>Table51[[#This Row],[BIDEN VOTES]]/C50</f>
        <v>0.21365600356513145</v>
      </c>
      <c r="J24" s="18">
        <v>0.48</v>
      </c>
      <c r="K24" s="17">
        <v>22944</v>
      </c>
      <c r="L24" s="80">
        <f>Table51[[#This Row],[TRUMP VOTES]]/C50</f>
        <v>0.22227819650849626</v>
      </c>
      <c r="M24" s="18">
        <v>0.499</v>
      </c>
      <c r="N24" s="82">
        <f>1-(Table51[[#This Row],[NbP]]+Table51[[#This Row],[NbP2]])</f>
        <v>0.56406579992637229</v>
      </c>
    </row>
    <row r="25" spans="1:14" ht="20">
      <c r="A25" s="78" t="s">
        <v>1729</v>
      </c>
      <c r="B25" s="78" t="s">
        <v>1714</v>
      </c>
      <c r="C25" s="78" t="s">
        <v>297</v>
      </c>
      <c r="D25" s="78">
        <v>115</v>
      </c>
      <c r="E25" s="78">
        <f>Table49[[#This Row],[2020]]/C51</f>
        <v>2.2129428291030847E-3</v>
      </c>
      <c r="G25" s="16" t="s">
        <v>1741</v>
      </c>
      <c r="H25" s="17">
        <v>12560</v>
      </c>
      <c r="I25" s="80">
        <f>Table51[[#This Row],[BIDEN VOTES]]/C51</f>
        <v>0.24169184290030213</v>
      </c>
      <c r="J25" s="18">
        <v>0.39800000000000002</v>
      </c>
      <c r="K25" s="17">
        <v>18571</v>
      </c>
      <c r="L25" s="80">
        <f>Table51[[#This Row],[TRUMP VOTES]]/C51</f>
        <v>0.3573614024284642</v>
      </c>
      <c r="M25" s="18">
        <v>0.58799999999999997</v>
      </c>
      <c r="N25" s="82">
        <f>1-(Table51[[#This Row],[NbP]]+Table51[[#This Row],[NbP2]])</f>
        <v>0.40094675467123364</v>
      </c>
    </row>
    <row r="27" spans="1:14" ht="21">
      <c r="A27" s="77" t="s">
        <v>1670</v>
      </c>
      <c r="B27" s="77" t="s">
        <v>69</v>
      </c>
      <c r="C27" s="77" t="s">
        <v>54</v>
      </c>
    </row>
    <row r="28" spans="1:14" ht="21">
      <c r="A28" s="52">
        <v>16</v>
      </c>
      <c r="B28" s="53" t="s">
        <v>1740</v>
      </c>
      <c r="C28" s="54">
        <v>71002</v>
      </c>
    </row>
    <row r="29" spans="1:14" ht="21">
      <c r="A29" s="52">
        <v>5</v>
      </c>
      <c r="B29" s="53" t="s">
        <v>1732</v>
      </c>
      <c r="C29" s="54">
        <v>575421</v>
      </c>
    </row>
    <row r="30" spans="1:14" ht="21">
      <c r="A30" s="52">
        <v>4</v>
      </c>
      <c r="B30" s="53" t="s">
        <v>1731</v>
      </c>
      <c r="C30" s="54">
        <v>602274</v>
      </c>
    </row>
    <row r="31" spans="1:14" ht="21">
      <c r="A31" s="52">
        <v>3</v>
      </c>
      <c r="B31" s="53" t="s">
        <v>1717</v>
      </c>
      <c r="C31" s="54">
        <v>828193</v>
      </c>
    </row>
    <row r="32" spans="1:14" ht="21">
      <c r="A32" s="52">
        <v>15</v>
      </c>
      <c r="B32" s="53" t="s">
        <v>1739</v>
      </c>
      <c r="C32" s="54">
        <v>92094</v>
      </c>
    </row>
    <row r="33" spans="1:3" ht="21">
      <c r="A33" s="52">
        <v>20</v>
      </c>
      <c r="B33" s="53" t="s">
        <v>1743</v>
      </c>
      <c r="C33" s="54">
        <v>33260</v>
      </c>
    </row>
    <row r="34" spans="1:3" ht="21">
      <c r="A34" s="52">
        <v>9</v>
      </c>
      <c r="B34" s="53" t="s">
        <v>178</v>
      </c>
      <c r="C34" s="54">
        <v>168233</v>
      </c>
    </row>
    <row r="35" spans="1:3" ht="21">
      <c r="A35" s="52">
        <v>14</v>
      </c>
      <c r="B35" s="53" t="s">
        <v>1738</v>
      </c>
      <c r="C35" s="54">
        <v>102889</v>
      </c>
    </row>
    <row r="36" spans="1:3" ht="21">
      <c r="A36" s="52">
        <v>10</v>
      </c>
      <c r="B36" s="53" t="s">
        <v>1735</v>
      </c>
      <c r="C36" s="54">
        <v>161448</v>
      </c>
    </row>
    <row r="37" spans="1:3" ht="21">
      <c r="A37" s="52">
        <v>21</v>
      </c>
      <c r="B37" s="53" t="s">
        <v>1744</v>
      </c>
      <c r="C37" s="54">
        <v>31994</v>
      </c>
    </row>
    <row r="38" spans="1:3" ht="21">
      <c r="A38" s="52">
        <v>7</v>
      </c>
      <c r="B38" s="53" t="s">
        <v>1733</v>
      </c>
      <c r="C38" s="54">
        <v>255955</v>
      </c>
    </row>
    <row r="39" spans="1:3" ht="21">
      <c r="A39" s="52">
        <v>22</v>
      </c>
      <c r="B39" s="53" t="s">
        <v>1745</v>
      </c>
      <c r="C39" s="54">
        <v>29155</v>
      </c>
    </row>
    <row r="40" spans="1:3" ht="21">
      <c r="A40" s="52">
        <v>8</v>
      </c>
      <c r="B40" s="53" t="s">
        <v>1734</v>
      </c>
      <c r="C40" s="54">
        <v>253736</v>
      </c>
    </row>
    <row r="41" spans="1:3" ht="21">
      <c r="A41" s="52">
        <v>6</v>
      </c>
      <c r="B41" s="53" t="s">
        <v>434</v>
      </c>
      <c r="C41" s="54">
        <v>322407</v>
      </c>
    </row>
    <row r="42" spans="1:3" ht="21">
      <c r="A42" s="52">
        <v>24</v>
      </c>
      <c r="B42" s="53" t="s">
        <v>449</v>
      </c>
      <c r="C42" s="54">
        <v>19456</v>
      </c>
    </row>
    <row r="43" spans="1:3" ht="21">
      <c r="A43" s="52">
        <v>1</v>
      </c>
      <c r="B43" s="53" t="s">
        <v>232</v>
      </c>
      <c r="C43" s="54">
        <v>1047661</v>
      </c>
    </row>
    <row r="44" spans="1:3" ht="21">
      <c r="A44" s="52">
        <v>2</v>
      </c>
      <c r="B44" s="53" t="s">
        <v>1730</v>
      </c>
      <c r="C44" s="54">
        <v>910551</v>
      </c>
    </row>
    <row r="45" spans="1:3" ht="21">
      <c r="A45" s="52">
        <v>18</v>
      </c>
      <c r="B45" s="53" t="s">
        <v>1742</v>
      </c>
      <c r="C45" s="54">
        <v>50163</v>
      </c>
    </row>
    <row r="46" spans="1:3" ht="21">
      <c r="A46" s="52">
        <v>23</v>
      </c>
      <c r="B46" s="53" t="s">
        <v>800</v>
      </c>
      <c r="C46" s="54">
        <v>25699</v>
      </c>
    </row>
    <row r="47" spans="1:3" ht="21">
      <c r="A47" s="52">
        <v>12</v>
      </c>
      <c r="B47" s="53" t="s">
        <v>1736</v>
      </c>
      <c r="C47" s="54">
        <v>113182</v>
      </c>
    </row>
    <row r="48" spans="1:3" ht="21">
      <c r="A48" s="52">
        <v>19</v>
      </c>
      <c r="B48" s="53" t="s">
        <v>1379</v>
      </c>
      <c r="C48" s="54">
        <v>37087</v>
      </c>
    </row>
    <row r="49" spans="1:3" ht="21">
      <c r="A49" s="52">
        <v>11</v>
      </c>
      <c r="B49" s="53" t="s">
        <v>258</v>
      </c>
      <c r="C49" s="54">
        <v>150575</v>
      </c>
    </row>
    <row r="50" spans="1:3" ht="21">
      <c r="A50" s="52">
        <v>13</v>
      </c>
      <c r="B50" s="53" t="s">
        <v>1737</v>
      </c>
      <c r="C50" s="54">
        <v>103222</v>
      </c>
    </row>
    <row r="51" spans="1:3" ht="21">
      <c r="A51" s="52">
        <v>17</v>
      </c>
      <c r="B51" s="53" t="s">
        <v>1741</v>
      </c>
      <c r="C51" s="54">
        <v>51967</v>
      </c>
    </row>
  </sheetData>
  <phoneticPr fontId="22" type="noConversion"/>
  <hyperlinks>
    <hyperlink ref="B43" r:id="rId1" display="https://www.maryland-demographics.com/montgomery-county-demographics" xr:uid="{28B4CF54-5C14-0F49-AB89-960143AC41A9}"/>
    <hyperlink ref="B44" r:id="rId2" display="https://www.maryland-demographics.com/prince-george-s-county-demographics" xr:uid="{457513A2-459A-A54A-9BF9-CD1F517A6794}"/>
    <hyperlink ref="B31" r:id="rId3" display="https://www.maryland-demographics.com/baltimore-county-demographics" xr:uid="{0746A349-0937-8A40-A267-89BF9C430221}"/>
    <hyperlink ref="B30" r:id="rId4" display="https://www.maryland-demographics.com/baltimore-city-county-demographics" xr:uid="{8C8C6145-9ABF-AF4F-A5EF-48509EA75B4F}"/>
    <hyperlink ref="B29" r:id="rId5" display="https://www.maryland-demographics.com/anne-arundel-county-demographics" xr:uid="{E1BC686D-D62E-D74C-9047-9CE643F685B7}"/>
    <hyperlink ref="B41" r:id="rId6" display="https://www.maryland-demographics.com/howard-county-demographics" xr:uid="{A0560B42-AD03-5446-8D99-9EBC2343485D}"/>
    <hyperlink ref="B38" r:id="rId7" display="https://www.maryland-demographics.com/frederick-county-demographics" xr:uid="{971B4315-B625-8041-995C-164482DD12AB}"/>
    <hyperlink ref="B40" r:id="rId8" display="https://www.maryland-demographics.com/harford-county-demographics" xr:uid="{0BD7C3EB-711A-214D-A4E4-DB6234CF92CA}"/>
    <hyperlink ref="B34" r:id="rId9" display="https://www.maryland-demographics.com/carroll-county-demographics" xr:uid="{54F47BA5-B47F-2343-8BF3-DBD697AC1426}"/>
    <hyperlink ref="B36" r:id="rId10" display="https://www.maryland-demographics.com/charles-county-demographics" xr:uid="{49D85996-6E07-024A-ACBF-81AED2909CF6}"/>
    <hyperlink ref="B49" r:id="rId11" display="https://www.maryland-demographics.com/washington-county-demographics" xr:uid="{06903CB5-AA3B-F845-9C77-62377365B824}"/>
    <hyperlink ref="B47" r:id="rId12" display="https://www.maryland-demographics.com/st-mary-s-county-demographics" xr:uid="{CDD49FB9-94A4-DF4C-8673-F01E5C8B486D}"/>
    <hyperlink ref="B50" r:id="rId13" display="https://www.maryland-demographics.com/wicomico-county-demographics" xr:uid="{50314729-751D-C74A-94C1-C53D4388AC6C}"/>
    <hyperlink ref="B35" r:id="rId14" display="https://www.maryland-demographics.com/cecil-county-demographics" xr:uid="{7044B183-1167-444F-8C87-8A95DADCDA84}"/>
    <hyperlink ref="B32" r:id="rId15" display="https://www.maryland-demographics.com/calvert-county-demographics" xr:uid="{F29655CD-C7DA-B74E-B68C-E7B164F7C3BE}"/>
    <hyperlink ref="B28" r:id="rId16" display="https://www.maryland-demographics.com/allegany-county-demographics" xr:uid="{C8EBBE85-0D70-BA47-880B-9A0540F5D14C}"/>
    <hyperlink ref="B51" r:id="rId17" display="https://www.maryland-demographics.com/worcester-county-demographics" xr:uid="{B3D42989-D586-564A-AA6E-EC6356087D4F}"/>
    <hyperlink ref="B45" r:id="rId18" display="https://www.maryland-demographics.com/queen-anne-s-county-demographics" xr:uid="{A0F09D99-EB1A-BC42-BE7A-468A736036CF}"/>
    <hyperlink ref="B48" r:id="rId19" display="https://www.maryland-demographics.com/talbot-county-demographics" xr:uid="{607FA445-FFAA-6E40-A798-54C1CA5B7DE2}"/>
    <hyperlink ref="B33" r:id="rId20" display="https://www.maryland-demographics.com/caroline-county-demographics" xr:uid="{276D3DE1-52F3-D14E-82F0-46D76EA6C1F9}"/>
    <hyperlink ref="B37" r:id="rId21" display="https://www.maryland-demographics.com/dorchester-county-demographics" xr:uid="{AA6FF449-6A45-6744-AEC1-A7C5C6F483BF}"/>
    <hyperlink ref="B39" r:id="rId22" display="https://www.maryland-demographics.com/garrett-county-demographics" xr:uid="{C3F7C776-3FF3-8A47-82A6-031E50A880B3}"/>
    <hyperlink ref="B46" r:id="rId23" display="https://www.maryland-demographics.com/somerset-county-demographics" xr:uid="{F40CF08D-C467-2541-87C7-69464207C1EC}"/>
    <hyperlink ref="B42" r:id="rId24" display="https://www.maryland-demographics.com/kent-county-demographics" xr:uid="{590BAA47-4837-804F-AF5A-AB621C21DE49}"/>
  </hyperlinks>
  <pageMargins left="0.7" right="0.7" top="0.75" bottom="0.75" header="0.3" footer="0.3"/>
  <tableParts count="3">
    <tablePart r:id="rId25"/>
    <tablePart r:id="rId26"/>
    <tablePart r:id="rId27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16D4-6427-FD49-BE87-0DE3524DD0ED}">
  <dimension ref="A1:S248"/>
  <sheetViews>
    <sheetView topLeftCell="F1" workbookViewId="0">
      <selection activeCell="R2" sqref="R2:R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6" max="6" width="10.83203125" style="1"/>
    <col min="8" max="8" width="12.1640625" customWidth="1"/>
    <col min="9" max="9" width="18.33203125" customWidth="1"/>
    <col min="10" max="10" width="18.33203125" style="86" customWidth="1"/>
    <col min="11" max="11" width="15.5" customWidth="1"/>
    <col min="12" max="12" width="17.33203125" customWidth="1"/>
    <col min="13" max="13" width="17.33203125" style="86" customWidth="1"/>
    <col min="14" max="14" width="14.5" customWidth="1"/>
    <col min="15" max="15" width="10.83203125" style="21"/>
  </cols>
  <sheetData>
    <row r="1" spans="1:19" ht="17">
      <c r="A1" s="22" t="s">
        <v>63</v>
      </c>
      <c r="B1" s="22" t="s">
        <v>64</v>
      </c>
      <c r="C1" s="22" t="s">
        <v>65</v>
      </c>
      <c r="D1" s="22" t="s">
        <v>66</v>
      </c>
      <c r="E1" s="22" t="s">
        <v>67</v>
      </c>
      <c r="F1" s="22" t="s">
        <v>803</v>
      </c>
      <c r="H1" s="15" t="s">
        <v>165</v>
      </c>
      <c r="I1" s="15" t="s">
        <v>166</v>
      </c>
      <c r="J1" s="84" t="s">
        <v>1677</v>
      </c>
      <c r="K1" s="15" t="s">
        <v>167</v>
      </c>
      <c r="L1" s="15" t="s">
        <v>168</v>
      </c>
      <c r="M1" s="84" t="s">
        <v>1687</v>
      </c>
      <c r="N1" s="15" t="s">
        <v>169</v>
      </c>
      <c r="O1" s="55" t="s">
        <v>62</v>
      </c>
      <c r="R1" t="s">
        <v>267</v>
      </c>
      <c r="S1" t="s">
        <v>328</v>
      </c>
    </row>
    <row r="2" spans="1:19" ht="20">
      <c r="A2" s="11" t="s">
        <v>69</v>
      </c>
      <c r="B2" s="12" t="s">
        <v>1489</v>
      </c>
      <c r="C2" s="11">
        <v>2018</v>
      </c>
      <c r="D2" s="11" t="s">
        <v>297</v>
      </c>
      <c r="E2" s="11">
        <v>191</v>
      </c>
      <c r="F2" s="11">
        <f>Table26[[#This Row],[Data]]/C128</f>
        <v>9.8626458742125372E-3</v>
      </c>
      <c r="H2" s="16" t="s">
        <v>1531</v>
      </c>
      <c r="I2" s="17">
        <v>7276</v>
      </c>
      <c r="J2" s="85">
        <f>Table25[[#This Row],[TRUMP VOTES]]/C128</f>
        <v>0.37571000722916453</v>
      </c>
      <c r="K2" s="18">
        <v>0.83</v>
      </c>
      <c r="L2" s="17">
        <v>1392</v>
      </c>
      <c r="M2" s="85">
        <f>Table25[[#This Row],[BIDEN VOTES]]/C128</f>
        <v>7.1878550036145822E-2</v>
      </c>
      <c r="N2" s="18">
        <v>0.159</v>
      </c>
      <c r="O2" s="21">
        <f>1-(Table25[[#This Row],[NbP]]+Table25[[#This Row],[NbP2]])</f>
        <v>0.55241144273468967</v>
      </c>
      <c r="Q2" t="s">
        <v>1671</v>
      </c>
      <c r="R2" s="81">
        <f>CORREL(F:F,J:J)</f>
        <v>0.39154273089905089</v>
      </c>
      <c r="S2">
        <v>0.01</v>
      </c>
    </row>
    <row r="3" spans="1:19" ht="20">
      <c r="A3" s="13" t="s">
        <v>69</v>
      </c>
      <c r="B3" s="14" t="s">
        <v>1415</v>
      </c>
      <c r="C3" s="13">
        <v>2018</v>
      </c>
      <c r="D3" s="13" t="s">
        <v>297</v>
      </c>
      <c r="E3" s="13">
        <v>160</v>
      </c>
      <c r="F3" s="13">
        <f>Table26[[#This Row],[Data]]/C129</f>
        <v>7.5955376216472826E-3</v>
      </c>
      <c r="H3" s="16" t="s">
        <v>1452</v>
      </c>
      <c r="I3" s="17">
        <v>7587</v>
      </c>
      <c r="J3" s="85">
        <f>Table25[[#This Row],[TRUMP VOTES]]/C129</f>
        <v>0.36017089959648707</v>
      </c>
      <c r="K3" s="18">
        <v>0.81</v>
      </c>
      <c r="L3" s="17">
        <v>1642</v>
      </c>
      <c r="M3" s="85">
        <f>Table25[[#This Row],[BIDEN VOTES]]/C129</f>
        <v>7.7949204842155229E-2</v>
      </c>
      <c r="N3" s="18">
        <v>0.17499999999999999</v>
      </c>
      <c r="O3" s="21">
        <f>1-(Table25[[#This Row],[NbP]]+Table25[[#This Row],[NbP2]])</f>
        <v>0.56187989556135776</v>
      </c>
      <c r="Q3" t="s">
        <v>1672</v>
      </c>
      <c r="R3" s="37">
        <f>CORREL(F:F,M:M)</f>
        <v>6.571857827322429E-2</v>
      </c>
      <c r="S3">
        <v>0.01</v>
      </c>
    </row>
    <row r="4" spans="1:19" ht="20">
      <c r="A4" s="11" t="s">
        <v>69</v>
      </c>
      <c r="B4" s="12" t="s">
        <v>70</v>
      </c>
      <c r="C4" s="11">
        <v>2018</v>
      </c>
      <c r="D4" s="11" t="s">
        <v>297</v>
      </c>
      <c r="E4" s="11">
        <v>91</v>
      </c>
      <c r="F4" s="11">
        <f>Table26[[#This Row],[Data]]/C130</f>
        <v>4.0301151461470328E-3</v>
      </c>
      <c r="H4" s="16" t="s">
        <v>170</v>
      </c>
      <c r="I4" s="17">
        <v>9661</v>
      </c>
      <c r="J4" s="85">
        <f>Table25[[#This Row],[TRUMP VOTES]]/C130</f>
        <v>0.42785651018600529</v>
      </c>
      <c r="K4" s="18">
        <v>0.72899999999999998</v>
      </c>
      <c r="L4" s="17">
        <v>3348</v>
      </c>
      <c r="M4" s="85">
        <f>Table25[[#This Row],[BIDEN VOTES]]/C130</f>
        <v>0.14827280779450841</v>
      </c>
      <c r="N4" s="18">
        <v>0.253</v>
      </c>
      <c r="O4" s="21">
        <f>1-(Table25[[#This Row],[NbP]]+Table25[[#This Row],[NbP2]])</f>
        <v>0.4238706820194863</v>
      </c>
      <c r="Q4" t="s">
        <v>1679</v>
      </c>
      <c r="R4">
        <f>CORREL(F:F,O:O)</f>
        <v>-0.32253643830863982</v>
      </c>
      <c r="S4" s="1">
        <v>0.01</v>
      </c>
    </row>
    <row r="5" spans="1:19" ht="20">
      <c r="A5" s="13" t="s">
        <v>69</v>
      </c>
      <c r="B5" s="14" t="s">
        <v>1574</v>
      </c>
      <c r="C5" s="13">
        <v>2018</v>
      </c>
      <c r="D5" s="13" t="s">
        <v>297</v>
      </c>
      <c r="E5" s="13">
        <v>0</v>
      </c>
      <c r="F5" s="13">
        <f>Table26[[#This Row],[Data]]/C131</f>
        <v>0</v>
      </c>
      <c r="H5" s="16" t="s">
        <v>1623</v>
      </c>
      <c r="I5" s="17">
        <v>3356</v>
      </c>
      <c r="J5" s="85">
        <f>Table25[[#This Row],[TRUMP VOTES]]/C131</f>
        <v>0.4240586302754612</v>
      </c>
      <c r="K5" s="18">
        <v>0.79400000000000004</v>
      </c>
      <c r="L5" s="19">
        <v>825</v>
      </c>
      <c r="M5" s="85">
        <f>Table25[[#This Row],[BIDEN VOTES]]/C131</f>
        <v>0.10424564063684609</v>
      </c>
      <c r="N5" s="18">
        <v>0.19500000000000001</v>
      </c>
      <c r="O5" s="21">
        <f>1-(Table25[[#This Row],[NbP]]+Table25[[#This Row],[NbP2]])</f>
        <v>0.47169572908769275</v>
      </c>
    </row>
    <row r="6" spans="1:19" ht="20">
      <c r="A6" s="11" t="s">
        <v>69</v>
      </c>
      <c r="B6" s="12" t="s">
        <v>1575</v>
      </c>
      <c r="C6" s="11">
        <v>2018</v>
      </c>
      <c r="D6" s="11" t="s">
        <v>297</v>
      </c>
      <c r="E6" s="11">
        <v>435</v>
      </c>
      <c r="F6" s="11">
        <f>Table26[[#This Row],[Data]]/C132</f>
        <v>9.8805251442329531E-3</v>
      </c>
      <c r="H6" s="16" t="s">
        <v>1624</v>
      </c>
      <c r="I6" s="17">
        <v>14654</v>
      </c>
      <c r="J6" s="85">
        <f>Table25[[#This Row],[TRUMP VOTES]]/C132</f>
        <v>0.33284877118066597</v>
      </c>
      <c r="K6" s="18">
        <v>0.73099999999999998</v>
      </c>
      <c r="L6" s="17">
        <v>5127</v>
      </c>
      <c r="M6" s="85">
        <f>Table25[[#This Row],[BIDEN VOTES]]/C132</f>
        <v>0.11645391359651115</v>
      </c>
      <c r="N6" s="18">
        <v>0.25600000000000001</v>
      </c>
      <c r="O6" s="21">
        <f>1-(Table25[[#This Row],[NbP]]+Table25[[#This Row],[NbP2]])</f>
        <v>0.55069731522282295</v>
      </c>
    </row>
    <row r="7" spans="1:19" ht="20">
      <c r="A7" s="13" t="s">
        <v>69</v>
      </c>
      <c r="B7" s="14" t="s">
        <v>1576</v>
      </c>
      <c r="C7" s="13">
        <v>2018</v>
      </c>
      <c r="D7" s="13" t="s">
        <v>297</v>
      </c>
      <c r="E7" s="13">
        <v>99</v>
      </c>
      <c r="F7" s="13">
        <f>Table26[[#This Row],[Data]]/C133</f>
        <v>7.9703727558167615E-3</v>
      </c>
      <c r="H7" s="16" t="s">
        <v>1625</v>
      </c>
      <c r="I7" s="17">
        <v>3986</v>
      </c>
      <c r="J7" s="85">
        <f>Table25[[#This Row],[TRUMP VOTES]]/C133</f>
        <v>0.32090813944126884</v>
      </c>
      <c r="K7" s="18">
        <v>0.70799999999999996</v>
      </c>
      <c r="L7" s="17">
        <v>1573</v>
      </c>
      <c r="M7" s="85">
        <f>Table25[[#This Row],[BIDEN VOTES]]/C133</f>
        <v>0.12664036712019966</v>
      </c>
      <c r="N7" s="18">
        <v>0.28000000000000003</v>
      </c>
      <c r="O7" s="21">
        <f>1-(Table25[[#This Row],[NbP]]+Table25[[#This Row],[NbP2]])</f>
        <v>0.5524514934385315</v>
      </c>
    </row>
    <row r="8" spans="1:19" ht="20">
      <c r="A8" s="11" t="s">
        <v>69</v>
      </c>
      <c r="B8" s="12" t="s">
        <v>571</v>
      </c>
      <c r="C8" s="11">
        <v>2018</v>
      </c>
      <c r="D8" s="11" t="s">
        <v>297</v>
      </c>
      <c r="E8" s="11">
        <v>173</v>
      </c>
      <c r="F8" s="11">
        <f>Table26[[#This Row],[Data]]/C134</f>
        <v>6.5465829107696962E-3</v>
      </c>
      <c r="H8" s="16" t="s">
        <v>343</v>
      </c>
      <c r="I8" s="17">
        <v>8140</v>
      </c>
      <c r="J8" s="85">
        <f>Table25[[#This Row],[TRUMP VOTES]]/C134</f>
        <v>0.30802997048361463</v>
      </c>
      <c r="K8" s="18">
        <v>0.81</v>
      </c>
      <c r="L8" s="17">
        <v>1789</v>
      </c>
      <c r="M8" s="85">
        <f>Table25[[#This Row],[BIDEN VOTES]]/C134</f>
        <v>6.7698478770907441E-2</v>
      </c>
      <c r="N8" s="18">
        <v>0.17799999999999999</v>
      </c>
      <c r="O8" s="21">
        <f>1-(Table25[[#This Row],[NbP]]+Table25[[#This Row],[NbP2]])</f>
        <v>0.62427155074547791</v>
      </c>
    </row>
    <row r="9" spans="1:19" ht="20">
      <c r="A9" s="13" t="s">
        <v>69</v>
      </c>
      <c r="B9" s="14" t="s">
        <v>859</v>
      </c>
      <c r="C9" s="13">
        <v>2018</v>
      </c>
      <c r="D9" s="13" t="s">
        <v>297</v>
      </c>
      <c r="E9" s="13">
        <v>299</v>
      </c>
      <c r="F9" s="13">
        <f>Table26[[#This Row],[Data]]/C135</f>
        <v>2.2588541037108665E-3</v>
      </c>
      <c r="H9" s="16" t="s">
        <v>827</v>
      </c>
      <c r="I9" s="17">
        <v>44814</v>
      </c>
      <c r="J9" s="85">
        <f>Table25[[#This Row],[TRUMP VOTES]]/C135</f>
        <v>0.33855614650066479</v>
      </c>
      <c r="K9" s="18">
        <v>0.66900000000000004</v>
      </c>
      <c r="L9" s="17">
        <v>20901</v>
      </c>
      <c r="M9" s="85">
        <f>Table25[[#This Row],[BIDEN VOTES]]/C135</f>
        <v>0.15790070107578871</v>
      </c>
      <c r="N9" s="18">
        <v>0.312</v>
      </c>
      <c r="O9" s="21">
        <f>1-(Table25[[#This Row],[NbP]]+Table25[[#This Row],[NbP2]])</f>
        <v>0.50354315242354653</v>
      </c>
    </row>
    <row r="10" spans="1:19" ht="20">
      <c r="A10" s="11" t="s">
        <v>69</v>
      </c>
      <c r="B10" s="12" t="s">
        <v>1577</v>
      </c>
      <c r="C10" s="11">
        <v>2018</v>
      </c>
      <c r="D10" s="11" t="s">
        <v>297</v>
      </c>
      <c r="E10" s="11">
        <v>90</v>
      </c>
      <c r="F10" s="11">
        <f>Table26[[#This Row],[Data]]/C136</f>
        <v>4.5004500450045006E-3</v>
      </c>
      <c r="H10" s="16" t="s">
        <v>1626</v>
      </c>
      <c r="I10" s="17">
        <v>6190</v>
      </c>
      <c r="J10" s="85">
        <f>Table25[[#This Row],[TRUMP VOTES]]/C136</f>
        <v>0.30953095309530954</v>
      </c>
      <c r="K10" s="18">
        <v>0.64200000000000002</v>
      </c>
      <c r="L10" s="17">
        <v>3296</v>
      </c>
      <c r="M10" s="85">
        <f>Table25[[#This Row],[BIDEN VOTES]]/C136</f>
        <v>0.16481648164816481</v>
      </c>
      <c r="N10" s="18">
        <v>0.34200000000000003</v>
      </c>
      <c r="O10" s="21">
        <f>1-(Table25[[#This Row],[NbP]]+Table25[[#This Row],[NbP2]])</f>
        <v>0.52565256525652559</v>
      </c>
    </row>
    <row r="11" spans="1:19" ht="20">
      <c r="A11" s="13" t="s">
        <v>69</v>
      </c>
      <c r="B11" s="14" t="s">
        <v>1578</v>
      </c>
      <c r="C11" s="13">
        <v>2018</v>
      </c>
      <c r="D11" s="13" t="s">
        <v>297</v>
      </c>
      <c r="E11" s="13">
        <v>507</v>
      </c>
      <c r="F11" s="13">
        <f>Table26[[#This Row],[Data]]/C137</f>
        <v>1.0705010451637423E-2</v>
      </c>
      <c r="H11" s="16" t="s">
        <v>1627</v>
      </c>
      <c r="I11" s="17">
        <v>14295</v>
      </c>
      <c r="J11" s="85">
        <f>Table25[[#This Row],[TRUMP VOTES]]/C137</f>
        <v>0.30183062013048712</v>
      </c>
      <c r="K11" s="18">
        <v>0.65800000000000003</v>
      </c>
      <c r="L11" s="17">
        <v>7083</v>
      </c>
      <c r="M11" s="85">
        <f>Table25[[#This Row],[BIDEN VOTES]]/C137</f>
        <v>0.14955343003737251</v>
      </c>
      <c r="N11" s="18">
        <v>0.32600000000000001</v>
      </c>
      <c r="O11" s="21">
        <f>1-(Table25[[#This Row],[NbP]]+Table25[[#This Row],[NbP2]])</f>
        <v>0.54861594983214035</v>
      </c>
    </row>
    <row r="12" spans="1:19" ht="20">
      <c r="A12" s="11" t="s">
        <v>69</v>
      </c>
      <c r="B12" s="12" t="s">
        <v>1579</v>
      </c>
      <c r="C12" s="11">
        <v>2018</v>
      </c>
      <c r="D12" s="11" t="s">
        <v>297</v>
      </c>
      <c r="E12" s="11">
        <v>157</v>
      </c>
      <c r="F12" s="11">
        <f>Table26[[#This Row],[Data]]/C138</f>
        <v>5.2176802924559654E-3</v>
      </c>
      <c r="H12" s="16" t="s">
        <v>1628</v>
      </c>
      <c r="I12" s="17">
        <v>8872</v>
      </c>
      <c r="J12" s="85">
        <f>Table25[[#This Row],[TRUMP VOTES]]/C138</f>
        <v>0.29484878697241607</v>
      </c>
      <c r="K12" s="18">
        <v>0.61299999999999999</v>
      </c>
      <c r="L12" s="17">
        <v>5298</v>
      </c>
      <c r="M12" s="85">
        <f>Table25[[#This Row],[BIDEN VOTES]]/C138</f>
        <v>0.17607178464606182</v>
      </c>
      <c r="N12" s="18">
        <v>0.36599999999999999</v>
      </c>
      <c r="O12" s="21">
        <f>1-(Table25[[#This Row],[NbP]]+Table25[[#This Row],[NbP2]])</f>
        <v>0.52907942838152211</v>
      </c>
    </row>
    <row r="13" spans="1:19" ht="20">
      <c r="A13" s="13" t="s">
        <v>69</v>
      </c>
      <c r="B13" s="14" t="s">
        <v>1580</v>
      </c>
      <c r="C13" s="13">
        <v>2018</v>
      </c>
      <c r="D13" s="13" t="s">
        <v>297</v>
      </c>
      <c r="E13" s="13">
        <v>52</v>
      </c>
      <c r="F13" s="13">
        <f>Table26[[#This Row],[Data]]/C139</f>
        <v>6.2590274434280212E-3</v>
      </c>
      <c r="H13" s="16" t="s">
        <v>1629</v>
      </c>
      <c r="I13" s="17">
        <v>3398</v>
      </c>
      <c r="J13" s="85">
        <f>Table25[[#This Row],[TRUMP VOTES]]/C139</f>
        <v>0.40900337024554645</v>
      </c>
      <c r="K13" s="18">
        <v>0.80100000000000005</v>
      </c>
      <c r="L13" s="19">
        <v>800</v>
      </c>
      <c r="M13" s="85">
        <f>Table25[[#This Row],[BIDEN VOTES]]/C139</f>
        <v>9.6292729898892634E-2</v>
      </c>
      <c r="N13" s="18">
        <v>0.189</v>
      </c>
      <c r="O13" s="21">
        <f>1-(Table25[[#This Row],[NbP]]+Table25[[#This Row],[NbP2]])</f>
        <v>0.49470389985556096</v>
      </c>
    </row>
    <row r="14" spans="1:19" ht="20">
      <c r="A14" s="11" t="s">
        <v>69</v>
      </c>
      <c r="B14" s="12" t="s">
        <v>1581</v>
      </c>
      <c r="C14" s="11">
        <v>2018</v>
      </c>
      <c r="D14" s="11" t="s">
        <v>297</v>
      </c>
      <c r="E14" s="11">
        <v>90</v>
      </c>
      <c r="F14" s="11">
        <f>Table26[[#This Row],[Data]]/C140</f>
        <v>7.0301515388220591E-3</v>
      </c>
      <c r="H14" s="16" t="s">
        <v>1630</v>
      </c>
      <c r="I14" s="17">
        <v>4265</v>
      </c>
      <c r="J14" s="85">
        <f>Table25[[#This Row],[TRUMP VOTES]]/C140</f>
        <v>0.33315107014528977</v>
      </c>
      <c r="K14" s="18">
        <v>0.753</v>
      </c>
      <c r="L14" s="17">
        <v>1301</v>
      </c>
      <c r="M14" s="85">
        <f>Table25[[#This Row],[BIDEN VOTES]]/C140</f>
        <v>0.10162474613341665</v>
      </c>
      <c r="N14" s="18">
        <v>0.23</v>
      </c>
      <c r="O14" s="21">
        <f>1-(Table25[[#This Row],[NbP]]+Table25[[#This Row],[NbP2]])</f>
        <v>0.56522418372129357</v>
      </c>
    </row>
    <row r="15" spans="1:19" ht="20">
      <c r="A15" s="13" t="s">
        <v>69</v>
      </c>
      <c r="B15" s="14" t="s">
        <v>1582</v>
      </c>
      <c r="C15" s="13">
        <v>2018</v>
      </c>
      <c r="D15" s="13" t="s">
        <v>297</v>
      </c>
      <c r="E15" s="13">
        <v>164</v>
      </c>
      <c r="F15" s="13">
        <f>Table26[[#This Row],[Data]]/C141</f>
        <v>8.0855889168268986E-3</v>
      </c>
      <c r="H15" s="16" t="s">
        <v>1631</v>
      </c>
      <c r="I15" s="17">
        <v>7701</v>
      </c>
      <c r="J15" s="85">
        <f>Table25[[#This Row],[TRUMP VOTES]]/C141</f>
        <v>0.37967756249075579</v>
      </c>
      <c r="K15" s="18">
        <v>0.755</v>
      </c>
      <c r="L15" s="17">
        <v>2350</v>
      </c>
      <c r="M15" s="85">
        <f>Table25[[#This Row],[BIDEN VOTES]]/C141</f>
        <v>0.11586057289355618</v>
      </c>
      <c r="N15" s="18">
        <v>0.23</v>
      </c>
      <c r="O15" s="21">
        <f>1-(Table25[[#This Row],[NbP]]+Table25[[#This Row],[NbP2]])</f>
        <v>0.50446186461568798</v>
      </c>
    </row>
    <row r="16" spans="1:19" ht="20">
      <c r="A16" s="11" t="s">
        <v>69</v>
      </c>
      <c r="B16" s="12" t="s">
        <v>1583</v>
      </c>
      <c r="C16" s="11">
        <v>2018</v>
      </c>
      <c r="D16" s="11" t="s">
        <v>297</v>
      </c>
      <c r="E16" s="11">
        <v>371</v>
      </c>
      <c r="F16" s="11">
        <f>Table26[[#This Row],[Data]]/C142</f>
        <v>4.5847184290851569E-3</v>
      </c>
      <c r="H16" s="16" t="s">
        <v>1632</v>
      </c>
      <c r="I16" s="17">
        <v>30708</v>
      </c>
      <c r="J16" s="85">
        <f>Table25[[#This Row],[TRUMP VOTES]]/C142</f>
        <v>0.37948122242681132</v>
      </c>
      <c r="K16" s="18">
        <v>0.73199999999999998</v>
      </c>
      <c r="L16" s="17">
        <v>10552</v>
      </c>
      <c r="M16" s="85">
        <f>Table25[[#This Row],[BIDEN VOTES]]/C142</f>
        <v>0.13039878399920909</v>
      </c>
      <c r="N16" s="18">
        <v>0.251</v>
      </c>
      <c r="O16" s="21">
        <f>1-(Table25[[#This Row],[NbP]]+Table25[[#This Row],[NbP2]])</f>
        <v>0.49011999357397962</v>
      </c>
    </row>
    <row r="17" spans="1:15" ht="20">
      <c r="A17" s="13" t="s">
        <v>69</v>
      </c>
      <c r="B17" s="14" t="s">
        <v>893</v>
      </c>
      <c r="C17" s="13">
        <v>2018</v>
      </c>
      <c r="D17" s="13" t="s">
        <v>297</v>
      </c>
      <c r="E17" s="13">
        <v>50</v>
      </c>
      <c r="F17" s="13">
        <f>Table26[[#This Row],[Data]]/C143</f>
        <v>3.9197240514267798E-3</v>
      </c>
      <c r="H17" s="16" t="s">
        <v>926</v>
      </c>
      <c r="I17" s="17">
        <v>4960</v>
      </c>
      <c r="J17" s="85">
        <f>Table25[[#This Row],[TRUMP VOTES]]/C143</f>
        <v>0.38883662590153656</v>
      </c>
      <c r="K17" s="18">
        <v>0.81</v>
      </c>
      <c r="L17" s="17">
        <v>1079</v>
      </c>
      <c r="M17" s="85">
        <f>Table25[[#This Row],[BIDEN VOTES]]/C143</f>
        <v>8.458764502978991E-2</v>
      </c>
      <c r="N17" s="18">
        <v>0.17599999999999999</v>
      </c>
      <c r="O17" s="21">
        <f>1-(Table25[[#This Row],[NbP]]+Table25[[#This Row],[NbP2]])</f>
        <v>0.52657572906867356</v>
      </c>
    </row>
    <row r="18" spans="1:15" ht="20">
      <c r="A18" s="11" t="s">
        <v>69</v>
      </c>
      <c r="B18" s="12" t="s">
        <v>585</v>
      </c>
      <c r="C18" s="11">
        <v>2018</v>
      </c>
      <c r="D18" s="11" t="s">
        <v>297</v>
      </c>
      <c r="E18" s="11">
        <v>52</v>
      </c>
      <c r="F18" s="11">
        <f>Table26[[#This Row],[Data]]/C144</f>
        <v>4.1012698162315644E-3</v>
      </c>
      <c r="H18" s="16" t="s">
        <v>357</v>
      </c>
      <c r="I18" s="17">
        <v>4906</v>
      </c>
      <c r="J18" s="85">
        <f>Table25[[#This Row],[TRUMP VOTES]]/C144</f>
        <v>0.38693903304677024</v>
      </c>
      <c r="K18" s="18">
        <v>0.76300000000000001</v>
      </c>
      <c r="L18" s="17">
        <v>1433</v>
      </c>
      <c r="M18" s="85">
        <f>Table25[[#This Row],[BIDEN VOTES]]/C144</f>
        <v>0.11302153166653521</v>
      </c>
      <c r="N18" s="18">
        <v>0.223</v>
      </c>
      <c r="O18" s="21">
        <f>1-(Table25[[#This Row],[NbP]]+Table25[[#This Row],[NbP2]])</f>
        <v>0.50003943528669459</v>
      </c>
    </row>
    <row r="19" spans="1:15" ht="20">
      <c r="A19" s="13" t="s">
        <v>69</v>
      </c>
      <c r="B19" s="14" t="s">
        <v>1584</v>
      </c>
      <c r="C19" s="13">
        <v>2018</v>
      </c>
      <c r="D19" s="13" t="s">
        <v>297</v>
      </c>
      <c r="E19" s="13">
        <v>227</v>
      </c>
      <c r="F19" s="13">
        <f>Table26[[#This Row],[Data]]/C145</f>
        <v>5.8218563258187785E-3</v>
      </c>
      <c r="H19" s="16" t="s">
        <v>1633</v>
      </c>
      <c r="I19" s="17">
        <v>11352</v>
      </c>
      <c r="J19" s="85">
        <f>Table25[[#This Row],[TRUMP VOTES]]/C145</f>
        <v>0.29114411017927216</v>
      </c>
      <c r="K19" s="18">
        <v>0.65100000000000002</v>
      </c>
      <c r="L19" s="17">
        <v>5797</v>
      </c>
      <c r="M19" s="85">
        <f>Table25[[#This Row],[BIDEN VOTES]]/C145</f>
        <v>0.14867533533379498</v>
      </c>
      <c r="N19" s="18">
        <v>0.33200000000000002</v>
      </c>
      <c r="O19" s="21">
        <f>1-(Table25[[#This Row],[NbP]]+Table25[[#This Row],[NbP2]])</f>
        <v>0.56018055448693282</v>
      </c>
    </row>
    <row r="20" spans="1:15" ht="20">
      <c r="A20" s="11" t="s">
        <v>69</v>
      </c>
      <c r="B20" s="12" t="s">
        <v>77</v>
      </c>
      <c r="C20" s="11">
        <v>2018</v>
      </c>
      <c r="D20" s="11" t="s">
        <v>297</v>
      </c>
      <c r="E20" s="11">
        <v>322</v>
      </c>
      <c r="F20" s="11">
        <f>Table26[[#This Row],[Data]]/C146</f>
        <v>3.439876933595419E-3</v>
      </c>
      <c r="H20" s="16" t="s">
        <v>176</v>
      </c>
      <c r="I20" s="17">
        <v>28482</v>
      </c>
      <c r="J20" s="85">
        <f>Table25[[#This Row],[TRUMP VOTES]]/C146</f>
        <v>0.30426886590889668</v>
      </c>
      <c r="K20" s="18">
        <v>0.58299999999999996</v>
      </c>
      <c r="L20" s="17">
        <v>19374</v>
      </c>
      <c r="M20" s="85">
        <f>Table25[[#This Row],[BIDEN VOTES]]/C146</f>
        <v>0.20696948978719767</v>
      </c>
      <c r="N20" s="18">
        <v>0.39700000000000002</v>
      </c>
      <c r="O20" s="21">
        <f>1-(Table25[[#This Row],[NbP]]+Table25[[#This Row],[NbP2]])</f>
        <v>0.48876164430390567</v>
      </c>
    </row>
    <row r="21" spans="1:15" ht="20">
      <c r="A21" s="13" t="s">
        <v>69</v>
      </c>
      <c r="B21" s="14" t="s">
        <v>1585</v>
      </c>
      <c r="C21" s="13">
        <v>2018</v>
      </c>
      <c r="D21" s="13" t="s">
        <v>297</v>
      </c>
      <c r="E21" s="13">
        <v>31</v>
      </c>
      <c r="F21" s="13">
        <f>Table26[[#This Row],[Data]]/C147</f>
        <v>6.5428450823132121E-3</v>
      </c>
      <c r="H21" s="16" t="s">
        <v>1634</v>
      </c>
      <c r="I21" s="17">
        <v>2159</v>
      </c>
      <c r="J21" s="85">
        <f>Table25[[#This Row],[TRUMP VOTES]]/C147</f>
        <v>0.45567750105529758</v>
      </c>
      <c r="K21" s="18">
        <v>0.81799999999999995</v>
      </c>
      <c r="L21" s="19">
        <v>463</v>
      </c>
      <c r="M21" s="85">
        <f>Table25[[#This Row],[BIDEN VOTES]]/C147</f>
        <v>9.772055719712959E-2</v>
      </c>
      <c r="N21" s="18">
        <v>0.17599999999999999</v>
      </c>
      <c r="O21" s="21">
        <f>1-(Table25[[#This Row],[NbP]]+Table25[[#This Row],[NbP2]])</f>
        <v>0.44660194174757284</v>
      </c>
    </row>
    <row r="22" spans="1:15" ht="20">
      <c r="A22" s="11" t="s">
        <v>69</v>
      </c>
      <c r="B22" s="12" t="s">
        <v>79</v>
      </c>
      <c r="C22" s="11">
        <v>2018</v>
      </c>
      <c r="D22" s="11" t="s">
        <v>297</v>
      </c>
      <c r="E22" s="11">
        <v>136</v>
      </c>
      <c r="F22" s="11">
        <f>Table26[[#This Row],[Data]]/C148</f>
        <v>1.2720980263773267E-2</v>
      </c>
      <c r="H22" s="16" t="s">
        <v>178</v>
      </c>
      <c r="I22" s="17">
        <v>2954</v>
      </c>
      <c r="J22" s="85">
        <f>Table25[[#This Row],[TRUMP VOTES]]/C148</f>
        <v>0.27630717425872231</v>
      </c>
      <c r="K22" s="18">
        <v>0.71399999999999997</v>
      </c>
      <c r="L22" s="17">
        <v>1116</v>
      </c>
      <c r="M22" s="85">
        <f>Table25[[#This Row],[BIDEN VOTES]]/C148</f>
        <v>0.10438686745861005</v>
      </c>
      <c r="N22" s="18">
        <v>0.27</v>
      </c>
      <c r="O22" s="21">
        <f>1-(Table25[[#This Row],[NbP]]+Table25[[#This Row],[NbP2]])</f>
        <v>0.61930595828266766</v>
      </c>
    </row>
    <row r="23" spans="1:15" ht="20">
      <c r="A23" s="13" t="s">
        <v>69</v>
      </c>
      <c r="B23" s="14" t="s">
        <v>80</v>
      </c>
      <c r="C23" s="13">
        <v>2018</v>
      </c>
      <c r="D23" s="13" t="s">
        <v>297</v>
      </c>
      <c r="E23" s="13">
        <v>291</v>
      </c>
      <c r="F23" s="13">
        <f>Table26[[#This Row],[Data]]/C149</f>
        <v>1.0787366548042705E-2</v>
      </c>
      <c r="H23" s="16" t="s">
        <v>179</v>
      </c>
      <c r="I23" s="17">
        <v>8775</v>
      </c>
      <c r="J23" s="85">
        <f>Table25[[#This Row],[TRUMP VOTES]]/C149</f>
        <v>0.32528914590747332</v>
      </c>
      <c r="K23" s="18">
        <v>0.75700000000000001</v>
      </c>
      <c r="L23" s="17">
        <v>2642</v>
      </c>
      <c r="M23" s="85">
        <f>Table25[[#This Row],[BIDEN VOTES]]/C149</f>
        <v>9.7938908659549226E-2</v>
      </c>
      <c r="N23" s="18">
        <v>0.22800000000000001</v>
      </c>
      <c r="O23" s="21">
        <f>1-(Table25[[#This Row],[NbP]]+Table25[[#This Row],[NbP2]])</f>
        <v>0.57677194543297738</v>
      </c>
    </row>
    <row r="24" spans="1:15" ht="20">
      <c r="A24" s="11" t="s">
        <v>69</v>
      </c>
      <c r="B24" s="12" t="s">
        <v>1586</v>
      </c>
      <c r="C24" s="11">
        <v>2018</v>
      </c>
      <c r="D24" s="11" t="s">
        <v>297</v>
      </c>
      <c r="E24" s="11">
        <v>119</v>
      </c>
      <c r="F24" s="11">
        <f>Table26[[#This Row],[Data]]/C150</f>
        <v>7.4524048096192381E-3</v>
      </c>
      <c r="H24" s="16" t="s">
        <v>1635</v>
      </c>
      <c r="I24" s="17">
        <v>6179</v>
      </c>
      <c r="J24" s="85">
        <f>Table25[[#This Row],[TRUMP VOTES]]/C150</f>
        <v>0.38696142284569141</v>
      </c>
      <c r="K24" s="18">
        <v>0.86199999999999999</v>
      </c>
      <c r="L24" s="19">
        <v>918</v>
      </c>
      <c r="M24" s="85">
        <f>Table25[[#This Row],[BIDEN VOTES]]/C150</f>
        <v>5.7489979959919842E-2</v>
      </c>
      <c r="N24" s="18">
        <v>0.128</v>
      </c>
      <c r="O24" s="21">
        <f>1-(Table25[[#This Row],[NbP]]+Table25[[#This Row],[NbP2]])</f>
        <v>0.55554859719438876</v>
      </c>
    </row>
    <row r="25" spans="1:15" ht="20">
      <c r="A25" s="13" t="s">
        <v>69</v>
      </c>
      <c r="B25" s="14" t="s">
        <v>1587</v>
      </c>
      <c r="C25" s="13">
        <v>2018</v>
      </c>
      <c r="D25" s="13" t="s">
        <v>297</v>
      </c>
      <c r="E25" s="13">
        <v>332</v>
      </c>
      <c r="F25" s="13">
        <f>Table26[[#This Row],[Data]]/C151</f>
        <v>4.6453057226808455E-3</v>
      </c>
      <c r="H25" s="16" t="s">
        <v>1403</v>
      </c>
      <c r="I25" s="17">
        <v>15080</v>
      </c>
      <c r="J25" s="85">
        <f>Table25[[#This Row],[TRUMP VOTES]]/C151</f>
        <v>0.21099762137959982</v>
      </c>
      <c r="K25" s="18">
        <v>0.63200000000000001</v>
      </c>
      <c r="L25" s="17">
        <v>8296</v>
      </c>
      <c r="M25" s="85">
        <f>Table25[[#This Row],[BIDEN VOTES]]/C151</f>
        <v>0.11607667552819365</v>
      </c>
      <c r="N25" s="18">
        <v>0.34799999999999998</v>
      </c>
      <c r="O25" s="21">
        <f>1-(Table25[[#This Row],[NbP]]+Table25[[#This Row],[NbP2]])</f>
        <v>0.67292570309220656</v>
      </c>
    </row>
    <row r="26" spans="1:15" ht="20">
      <c r="A26" s="11" t="s">
        <v>69</v>
      </c>
      <c r="B26" s="12" t="s">
        <v>1418</v>
      </c>
      <c r="C26" s="11">
        <v>2018</v>
      </c>
      <c r="D26" s="11" t="s">
        <v>297</v>
      </c>
      <c r="E26" s="11">
        <v>279</v>
      </c>
      <c r="F26" s="11">
        <f>Table26[[#This Row],[Data]]/C152</f>
        <v>7.7174153573799512E-3</v>
      </c>
      <c r="H26" s="16" t="s">
        <v>1404</v>
      </c>
      <c r="I26" s="17">
        <v>11811</v>
      </c>
      <c r="J26" s="85">
        <f>Table25[[#This Row],[TRUMP VOTES]]/C152</f>
        <v>0.32670391679575128</v>
      </c>
      <c r="K26" s="18">
        <v>0.65200000000000002</v>
      </c>
      <c r="L26" s="17">
        <v>6004</v>
      </c>
      <c r="M26" s="85">
        <f>Table25[[#This Row],[BIDEN VOTES]]/C152</f>
        <v>0.16607656561186104</v>
      </c>
      <c r="N26" s="18">
        <v>0.33100000000000002</v>
      </c>
      <c r="O26" s="21">
        <f>1-(Table25[[#This Row],[NbP]]+Table25[[#This Row],[NbP2]])</f>
        <v>0.5072195175923877</v>
      </c>
    </row>
    <row r="27" spans="1:15" ht="20">
      <c r="A27" s="13" t="s">
        <v>69</v>
      </c>
      <c r="B27" s="14" t="s">
        <v>84</v>
      </c>
      <c r="C27" s="13">
        <v>2018</v>
      </c>
      <c r="D27" s="13" t="s">
        <v>297</v>
      </c>
      <c r="E27" s="13">
        <v>169</v>
      </c>
      <c r="F27" s="13">
        <f>Table26[[#This Row],[Data]]/C153</f>
        <v>8.4037792143212327E-3</v>
      </c>
      <c r="H27" s="16" t="s">
        <v>183</v>
      </c>
      <c r="I27" s="17">
        <v>6677</v>
      </c>
      <c r="J27" s="85">
        <f>Table25[[#This Row],[TRUMP VOTES]]/C153</f>
        <v>0.33202386872202883</v>
      </c>
      <c r="K27" s="18">
        <v>0.88</v>
      </c>
      <c r="L27" s="19">
        <v>831</v>
      </c>
      <c r="M27" s="85">
        <f>Table25[[#This Row],[BIDEN VOTES]]/C153</f>
        <v>4.1322725012431623E-2</v>
      </c>
      <c r="N27" s="18">
        <v>0.109</v>
      </c>
      <c r="O27" s="21">
        <f>1-(Table25[[#This Row],[NbP]]+Table25[[#This Row],[NbP2]])</f>
        <v>0.62665340626553956</v>
      </c>
    </row>
    <row r="28" spans="1:15" ht="20">
      <c r="A28" s="11" t="s">
        <v>69</v>
      </c>
      <c r="B28" s="12" t="s">
        <v>1398</v>
      </c>
      <c r="C28" s="11">
        <v>2018</v>
      </c>
      <c r="D28" s="11" t="s">
        <v>297</v>
      </c>
      <c r="E28" s="11">
        <v>53</v>
      </c>
      <c r="F28" s="11">
        <f>Table26[[#This Row],[Data]]/C154</f>
        <v>5.2088452088452086E-3</v>
      </c>
      <c r="H28" s="16" t="s">
        <v>1405</v>
      </c>
      <c r="I28" s="17">
        <v>4280</v>
      </c>
      <c r="J28" s="85">
        <f>Table25[[#This Row],[TRUMP VOTES]]/C154</f>
        <v>0.42063882063882063</v>
      </c>
      <c r="K28" s="18">
        <v>0.86799999999999999</v>
      </c>
      <c r="L28" s="19">
        <v>603</v>
      </c>
      <c r="M28" s="85">
        <f>Table25[[#This Row],[BIDEN VOTES]]/C154</f>
        <v>5.9262899262899266E-2</v>
      </c>
      <c r="N28" s="18">
        <v>0.122</v>
      </c>
      <c r="O28" s="21">
        <f>1-(Table25[[#This Row],[NbP]]+Table25[[#This Row],[NbP2]])</f>
        <v>0.52009828009828007</v>
      </c>
    </row>
    <row r="29" spans="1:15" ht="20">
      <c r="A29" s="13" t="s">
        <v>69</v>
      </c>
      <c r="B29" s="14" t="s">
        <v>1588</v>
      </c>
      <c r="C29" s="13">
        <v>2018</v>
      </c>
      <c r="D29" s="13" t="s">
        <v>297</v>
      </c>
      <c r="E29" s="13">
        <v>36</v>
      </c>
      <c r="F29" s="13">
        <f>Table26[[#This Row],[Data]]/C155</f>
        <v>4.0268456375838931E-3</v>
      </c>
      <c r="H29" s="16" t="s">
        <v>1636</v>
      </c>
      <c r="I29" s="17">
        <v>3451</v>
      </c>
      <c r="J29" s="85">
        <f>Table25[[#This Row],[TRUMP VOTES]]/C155</f>
        <v>0.38601789709172257</v>
      </c>
      <c r="K29" s="18">
        <v>0.81399999999999995</v>
      </c>
      <c r="L29" s="19">
        <v>731</v>
      </c>
      <c r="M29" s="85">
        <f>Table25[[#This Row],[BIDEN VOTES]]/C155</f>
        <v>8.1767337807606269E-2</v>
      </c>
      <c r="N29" s="18">
        <v>0.17199999999999999</v>
      </c>
      <c r="O29" s="21">
        <f>1-(Table25[[#This Row],[NbP]]+Table25[[#This Row],[NbP2]])</f>
        <v>0.53221476510067123</v>
      </c>
    </row>
    <row r="30" spans="1:15" ht="20">
      <c r="A30" s="11" t="s">
        <v>69</v>
      </c>
      <c r="B30" s="12" t="s">
        <v>88</v>
      </c>
      <c r="C30" s="11">
        <v>2018</v>
      </c>
      <c r="D30" s="11" t="s">
        <v>297</v>
      </c>
      <c r="E30" s="11">
        <v>67</v>
      </c>
      <c r="F30" s="11">
        <f>Table26[[#This Row],[Data]]/C156</f>
        <v>1.006006006006006E-2</v>
      </c>
      <c r="H30" s="16" t="s">
        <v>187</v>
      </c>
      <c r="I30" s="17">
        <v>2769</v>
      </c>
      <c r="J30" s="85">
        <f>Table25[[#This Row],[TRUMP VOTES]]/C156</f>
        <v>0.41576576576576579</v>
      </c>
      <c r="K30" s="18">
        <v>0.83699999999999997</v>
      </c>
      <c r="L30" s="19">
        <v>508</v>
      </c>
      <c r="M30" s="85">
        <f>Table25[[#This Row],[BIDEN VOTES]]/C156</f>
        <v>7.627627627627627E-2</v>
      </c>
      <c r="N30" s="18">
        <v>0.154</v>
      </c>
      <c r="O30" s="21">
        <f>1-(Table25[[#This Row],[NbP]]+Table25[[#This Row],[NbP2]])</f>
        <v>0.50795795795795795</v>
      </c>
    </row>
    <row r="31" spans="1:15" ht="20">
      <c r="A31" s="13" t="s">
        <v>69</v>
      </c>
      <c r="B31" s="14" t="s">
        <v>1419</v>
      </c>
      <c r="C31" s="13">
        <v>2018</v>
      </c>
      <c r="D31" s="13" t="s">
        <v>297</v>
      </c>
      <c r="E31" s="13">
        <v>505</v>
      </c>
      <c r="F31" s="13">
        <f>Table26[[#This Row],[Data]]/C157</f>
        <v>4.9999504955396479E-3</v>
      </c>
      <c r="H31" s="16" t="s">
        <v>1455</v>
      </c>
      <c r="I31" s="17">
        <v>31025</v>
      </c>
      <c r="J31" s="85">
        <f>Table25[[#This Row],[TRUMP VOTES]]/C157</f>
        <v>0.30717517648340115</v>
      </c>
      <c r="K31" s="18">
        <v>0.63</v>
      </c>
      <c r="L31" s="17">
        <v>17286</v>
      </c>
      <c r="M31" s="85">
        <f>Table25[[#This Row],[BIDEN VOTES]]/C157</f>
        <v>0.17114682032851161</v>
      </c>
      <c r="N31" s="18">
        <v>0.35099999999999998</v>
      </c>
      <c r="O31" s="21">
        <f>1-(Table25[[#This Row],[NbP]]+Table25[[#This Row],[NbP2]])</f>
        <v>0.52167800318808721</v>
      </c>
    </row>
    <row r="32" spans="1:15" ht="20">
      <c r="A32" s="11" t="s">
        <v>69</v>
      </c>
      <c r="B32" s="12" t="s">
        <v>1589</v>
      </c>
      <c r="C32" s="11">
        <v>2018</v>
      </c>
      <c r="D32" s="11" t="s">
        <v>297</v>
      </c>
      <c r="E32" s="11">
        <v>61</v>
      </c>
      <c r="F32" s="11">
        <f>Table26[[#This Row],[Data]]/C158</f>
        <v>5.0020500205002049E-3</v>
      </c>
      <c r="H32" s="16" t="s">
        <v>1637</v>
      </c>
      <c r="I32" s="17">
        <v>4828</v>
      </c>
      <c r="J32" s="85">
        <f>Table25[[#This Row],[TRUMP VOTES]]/C158</f>
        <v>0.39589995899959002</v>
      </c>
      <c r="K32" s="18">
        <v>0.78700000000000003</v>
      </c>
      <c r="L32" s="17">
        <v>1227</v>
      </c>
      <c r="M32" s="85">
        <f>Table25[[#This Row],[BIDEN VOTES]]/C158</f>
        <v>0.1006150061500615</v>
      </c>
      <c r="N32" s="18">
        <v>0.2</v>
      </c>
      <c r="O32" s="21">
        <f>1-(Table25[[#This Row],[NbP]]+Table25[[#This Row],[NbP2]])</f>
        <v>0.50348503485034846</v>
      </c>
    </row>
    <row r="33" spans="1:15" ht="20">
      <c r="A33" s="13" t="s">
        <v>69</v>
      </c>
      <c r="B33" s="14" t="s">
        <v>1590</v>
      </c>
      <c r="C33" s="13">
        <v>2018</v>
      </c>
      <c r="D33" s="13" t="s">
        <v>297</v>
      </c>
      <c r="E33" s="13">
        <v>43</v>
      </c>
      <c r="F33" s="13">
        <f>Table26[[#This Row],[Data]]/C159</f>
        <v>5.7633025063664389E-3</v>
      </c>
      <c r="H33" s="16" t="s">
        <v>1638</v>
      </c>
      <c r="I33" s="17">
        <v>2246</v>
      </c>
      <c r="J33" s="85">
        <f>Table25[[#This Row],[TRUMP VOTES]]/C159</f>
        <v>0.30103203323951211</v>
      </c>
      <c r="K33" s="18">
        <v>0.75</v>
      </c>
      <c r="L33" s="19">
        <v>712</v>
      </c>
      <c r="M33" s="85">
        <f>Table25[[#This Row],[BIDEN VOTES]]/C159</f>
        <v>9.5429567082160563E-2</v>
      </c>
      <c r="N33" s="18">
        <v>0.23799999999999999</v>
      </c>
      <c r="O33" s="21">
        <f>1-(Table25[[#This Row],[NbP]]+Table25[[#This Row],[NbP2]])</f>
        <v>0.60353839967832734</v>
      </c>
    </row>
    <row r="34" spans="1:15" ht="20">
      <c r="A34" s="11" t="s">
        <v>69</v>
      </c>
      <c r="B34" s="12" t="s">
        <v>1591</v>
      </c>
      <c r="C34" s="11">
        <v>2018</v>
      </c>
      <c r="D34" s="11" t="s">
        <v>297</v>
      </c>
      <c r="E34" s="11">
        <v>130</v>
      </c>
      <c r="F34" s="11">
        <f>Table26[[#This Row],[Data]]/C160</f>
        <v>9.1633185310495517E-3</v>
      </c>
      <c r="H34" s="16" t="s">
        <v>1639</v>
      </c>
      <c r="I34" s="17">
        <v>5100</v>
      </c>
      <c r="J34" s="85">
        <f>Table25[[#This Row],[TRUMP VOTES]]/C160</f>
        <v>0.3594840346796363</v>
      </c>
      <c r="K34" s="18">
        <v>0.78</v>
      </c>
      <c r="L34" s="17">
        <v>1355</v>
      </c>
      <c r="M34" s="85">
        <f>Table25[[#This Row],[BIDEN VOTES]]/C160</f>
        <v>9.5509973919785718E-2</v>
      </c>
      <c r="N34" s="18">
        <v>0.20699999999999999</v>
      </c>
      <c r="O34" s="21">
        <f>1-(Table25[[#This Row],[NbP]]+Table25[[#This Row],[NbP2]])</f>
        <v>0.54500599140057804</v>
      </c>
    </row>
    <row r="35" spans="1:15" ht="20">
      <c r="A35" s="13" t="s">
        <v>69</v>
      </c>
      <c r="B35" s="14" t="s">
        <v>94</v>
      </c>
      <c r="C35" s="13">
        <v>2018</v>
      </c>
      <c r="D35" s="13" t="s">
        <v>297</v>
      </c>
      <c r="E35" s="13">
        <v>1225</v>
      </c>
      <c r="F35" s="13">
        <f>Table26[[#This Row],[Data]]/C161</f>
        <v>3.8019863438857851E-3</v>
      </c>
      <c r="H35" s="16" t="s">
        <v>193</v>
      </c>
      <c r="I35" s="17">
        <v>58860</v>
      </c>
      <c r="J35" s="85">
        <f>Table25[[#This Row],[TRUMP VOTES]]/C161</f>
        <v>0.18268156424581006</v>
      </c>
      <c r="K35" s="18">
        <v>0.38500000000000001</v>
      </c>
      <c r="L35" s="17">
        <v>90600</v>
      </c>
      <c r="M35" s="85">
        <f>Table25[[#This Row],[BIDEN VOTES]]/C161</f>
        <v>0.28119180633147112</v>
      </c>
      <c r="N35" s="18">
        <v>0.59299999999999997</v>
      </c>
      <c r="O35" s="21">
        <f>1-(Table25[[#This Row],[NbP]]+Table25[[#This Row],[NbP2]])</f>
        <v>0.53612662942271883</v>
      </c>
    </row>
    <row r="36" spans="1:15" ht="20">
      <c r="A36" s="11" t="s">
        <v>69</v>
      </c>
      <c r="B36" s="12" t="s">
        <v>1592</v>
      </c>
      <c r="C36" s="11">
        <v>2018</v>
      </c>
      <c r="D36" s="11" t="s">
        <v>297</v>
      </c>
      <c r="E36" s="11">
        <v>206</v>
      </c>
      <c r="F36" s="11">
        <f>Table26[[#This Row],[Data]]/C162</f>
        <v>1.4188304979681796E-2</v>
      </c>
      <c r="H36" s="16" t="s">
        <v>1640</v>
      </c>
      <c r="I36" s="17">
        <v>5534</v>
      </c>
      <c r="J36" s="85">
        <f>Table25[[#This Row],[TRUMP VOTES]]/C162</f>
        <v>0.38115572697844202</v>
      </c>
      <c r="K36" s="18">
        <v>0.78300000000000003</v>
      </c>
      <c r="L36" s="17">
        <v>1474</v>
      </c>
      <c r="M36" s="85">
        <f>Table25[[#This Row],[BIDEN VOTES]]/C162</f>
        <v>0.10152214339830568</v>
      </c>
      <c r="N36" s="18">
        <v>0.20899999999999999</v>
      </c>
      <c r="O36" s="21">
        <f>1-(Table25[[#This Row],[NbP]]+Table25[[#This Row],[NbP2]])</f>
        <v>0.5173221296232523</v>
      </c>
    </row>
    <row r="37" spans="1:15" ht="20">
      <c r="A37" s="13" t="s">
        <v>69</v>
      </c>
      <c r="B37" s="14" t="s">
        <v>630</v>
      </c>
      <c r="C37" s="13">
        <v>2018</v>
      </c>
      <c r="D37" s="13" t="s">
        <v>297</v>
      </c>
      <c r="E37" s="13">
        <v>293</v>
      </c>
      <c r="F37" s="13">
        <f>Table26[[#This Row],[Data]]/C163</f>
        <v>8.1545183824552614E-3</v>
      </c>
      <c r="H37" s="16" t="s">
        <v>403</v>
      </c>
      <c r="I37" s="17">
        <v>12250</v>
      </c>
      <c r="J37" s="85">
        <f>Table25[[#This Row],[TRUMP VOTES]]/C163</f>
        <v>0.34093122930060393</v>
      </c>
      <c r="K37" s="18">
        <v>0.749</v>
      </c>
      <c r="L37" s="17">
        <v>3884</v>
      </c>
      <c r="M37" s="85">
        <f>Table25[[#This Row],[BIDEN VOTES]]/C163</f>
        <v>0.10809607302886087</v>
      </c>
      <c r="N37" s="18">
        <v>0.23799999999999999</v>
      </c>
      <c r="O37" s="21">
        <f>1-(Table25[[#This Row],[NbP]]+Table25[[#This Row],[NbP2]])</f>
        <v>0.55097269767053514</v>
      </c>
    </row>
    <row r="38" spans="1:15" ht="20">
      <c r="A38" s="11" t="s">
        <v>69</v>
      </c>
      <c r="B38" s="12" t="s">
        <v>96</v>
      </c>
      <c r="C38" s="11">
        <v>2018</v>
      </c>
      <c r="D38" s="11" t="s">
        <v>297</v>
      </c>
      <c r="E38" s="11">
        <v>272</v>
      </c>
      <c r="F38" s="11">
        <f>Table26[[#This Row],[Data]]/C164</f>
        <v>5.3602396342424721E-3</v>
      </c>
      <c r="H38" s="16" t="s">
        <v>195</v>
      </c>
      <c r="I38" s="17">
        <v>12900</v>
      </c>
      <c r="J38" s="85">
        <f>Table25[[#This Row],[TRUMP VOTES]]/C164</f>
        <v>0.25421724735929369</v>
      </c>
      <c r="K38" s="18">
        <v>0.495</v>
      </c>
      <c r="L38" s="17">
        <v>12652</v>
      </c>
      <c r="M38" s="85">
        <f>Table25[[#This Row],[BIDEN VOTES]]/C164</f>
        <v>0.24932997004571969</v>
      </c>
      <c r="N38" s="18">
        <v>0.48499999999999999</v>
      </c>
      <c r="O38" s="21">
        <f>1-(Table25[[#This Row],[NbP]]+Table25[[#This Row],[NbP2]])</f>
        <v>0.4964527825949866</v>
      </c>
    </row>
    <row r="39" spans="1:15" ht="20">
      <c r="A39" s="13" t="s">
        <v>69</v>
      </c>
      <c r="B39" s="14" t="s">
        <v>1250</v>
      </c>
      <c r="C39" s="13">
        <v>2018</v>
      </c>
      <c r="D39" s="13" t="s">
        <v>297</v>
      </c>
      <c r="E39" s="13">
        <v>0</v>
      </c>
      <c r="F39" s="13">
        <f>Table26[[#This Row],[Data]]/C165</f>
        <v>0</v>
      </c>
      <c r="H39" s="16" t="s">
        <v>1343</v>
      </c>
      <c r="I39" s="17">
        <v>1606</v>
      </c>
      <c r="J39" s="85">
        <f>Table25[[#This Row],[TRUMP VOTES]]/C165</f>
        <v>0.26484168865435354</v>
      </c>
      <c r="K39" s="18">
        <v>0.66200000000000003</v>
      </c>
      <c r="L39" s="19">
        <v>794</v>
      </c>
      <c r="M39" s="85">
        <f>Table25[[#This Row],[BIDEN VOTES]]/C165</f>
        <v>0.13093667546174143</v>
      </c>
      <c r="N39" s="18">
        <v>0.32700000000000001</v>
      </c>
      <c r="O39" s="21">
        <f>1-(Table25[[#This Row],[NbP]]+Table25[[#This Row],[NbP2]])</f>
        <v>0.60422163588390498</v>
      </c>
    </row>
    <row r="40" spans="1:15" ht="20">
      <c r="A40" s="11" t="s">
        <v>69</v>
      </c>
      <c r="B40" s="12" t="s">
        <v>1593</v>
      </c>
      <c r="C40" s="11">
        <v>2018</v>
      </c>
      <c r="D40" s="11" t="s">
        <v>297</v>
      </c>
      <c r="E40" s="11">
        <v>85</v>
      </c>
      <c r="F40" s="11">
        <f>Table26[[#This Row],[Data]]/C166</f>
        <v>9.7031963470319629E-3</v>
      </c>
      <c r="H40" s="16" t="s">
        <v>1406</v>
      </c>
      <c r="I40" s="17">
        <v>2955</v>
      </c>
      <c r="J40" s="85">
        <f>Table25[[#This Row],[TRUMP VOTES]]/C166</f>
        <v>0.33732876712328769</v>
      </c>
      <c r="K40" s="18">
        <v>0.76800000000000002</v>
      </c>
      <c r="L40" s="19">
        <v>822</v>
      </c>
      <c r="M40" s="85">
        <f>Table25[[#This Row],[BIDEN VOTES]]/C166</f>
        <v>9.3835616438356168E-2</v>
      </c>
      <c r="N40" s="18">
        <v>0.214</v>
      </c>
      <c r="O40" s="21">
        <f>1-(Table25[[#This Row],[NbP]]+Table25[[#This Row],[NbP2]])</f>
        <v>0.56883561643835612</v>
      </c>
    </row>
    <row r="41" spans="1:15" ht="20">
      <c r="A41" s="13" t="s">
        <v>69</v>
      </c>
      <c r="B41" s="14" t="s">
        <v>1594</v>
      </c>
      <c r="C41" s="13">
        <v>2018</v>
      </c>
      <c r="D41" s="13" t="s">
        <v>297</v>
      </c>
      <c r="E41" s="13">
        <v>87</v>
      </c>
      <c r="F41" s="13">
        <f>Table26[[#This Row],[Data]]/C167</f>
        <v>4.9561353537655234E-3</v>
      </c>
      <c r="H41" s="16" t="s">
        <v>1641</v>
      </c>
      <c r="I41" s="17">
        <v>6754</v>
      </c>
      <c r="J41" s="85">
        <f>Table25[[#This Row],[TRUMP VOTES]]/C167</f>
        <v>0.38475561125669361</v>
      </c>
      <c r="K41" s="18">
        <v>0.77600000000000002</v>
      </c>
      <c r="L41" s="17">
        <v>1830</v>
      </c>
      <c r="M41" s="85">
        <f>Table25[[#This Row],[BIDEN VOTES]]/C167</f>
        <v>0.10424974364817136</v>
      </c>
      <c r="N41" s="18">
        <v>0.21</v>
      </c>
      <c r="O41" s="21">
        <f>1-(Table25[[#This Row],[NbP]]+Table25[[#This Row],[NbP2]])</f>
        <v>0.51099464509513504</v>
      </c>
    </row>
    <row r="42" spans="1:15" ht="20">
      <c r="A42" s="11" t="s">
        <v>69</v>
      </c>
      <c r="B42" s="12" t="s">
        <v>313</v>
      </c>
      <c r="C42" s="11">
        <v>2018</v>
      </c>
      <c r="D42" s="11" t="s">
        <v>297</v>
      </c>
      <c r="E42" s="11">
        <v>188</v>
      </c>
      <c r="F42" s="11">
        <f>Table26[[#This Row],[Data]]/C168</f>
        <v>7.4879515672919899E-3</v>
      </c>
      <c r="H42" s="16" t="s">
        <v>278</v>
      </c>
      <c r="I42" s="17">
        <v>8725</v>
      </c>
      <c r="J42" s="85">
        <f>Table25[[#This Row],[TRUMP VOTES]]/C168</f>
        <v>0.34751264587565223</v>
      </c>
      <c r="K42" s="18">
        <v>0.78600000000000003</v>
      </c>
      <c r="L42" s="17">
        <v>2205</v>
      </c>
      <c r="M42" s="85">
        <f>Table25[[#This Row],[BIDEN VOTES]]/C168</f>
        <v>8.7824112797227863E-2</v>
      </c>
      <c r="N42" s="18">
        <v>0.19900000000000001</v>
      </c>
      <c r="O42" s="21">
        <f>1-(Table25[[#This Row],[NbP]]+Table25[[#This Row],[NbP2]])</f>
        <v>0.56466324132711998</v>
      </c>
    </row>
    <row r="43" spans="1:15" ht="20">
      <c r="A43" s="13" t="s">
        <v>69</v>
      </c>
      <c r="B43" s="14" t="s">
        <v>1595</v>
      </c>
      <c r="C43" s="13">
        <v>2018</v>
      </c>
      <c r="D43" s="13" t="s">
        <v>297</v>
      </c>
      <c r="E43" s="13">
        <v>153</v>
      </c>
      <c r="F43" s="13">
        <f>Table26[[#This Row],[Data]]/C169</f>
        <v>4.121212121212121E-3</v>
      </c>
      <c r="H43" s="16" t="s">
        <v>1642</v>
      </c>
      <c r="I43" s="17">
        <v>13206</v>
      </c>
      <c r="J43" s="85">
        <f>Table25[[#This Row],[TRUMP VOTES]]/C169</f>
        <v>0.35571717171717171</v>
      </c>
      <c r="K43" s="18">
        <v>0.77600000000000002</v>
      </c>
      <c r="L43" s="17">
        <v>3560</v>
      </c>
      <c r="M43" s="85">
        <f>Table25[[#This Row],[BIDEN VOTES]]/C169</f>
        <v>9.589225589225589E-2</v>
      </c>
      <c r="N43" s="18">
        <v>0.20899999999999999</v>
      </c>
      <c r="O43" s="21">
        <f>1-(Table25[[#This Row],[NbP]]+Table25[[#This Row],[NbP2]])</f>
        <v>0.54839057239057243</v>
      </c>
    </row>
    <row r="44" spans="1:15" ht="20">
      <c r="A44" s="11" t="s">
        <v>69</v>
      </c>
      <c r="B44" s="12" t="s">
        <v>643</v>
      </c>
      <c r="C44" s="11">
        <v>2018</v>
      </c>
      <c r="D44" s="11" t="s">
        <v>297</v>
      </c>
      <c r="E44" s="11">
        <v>233</v>
      </c>
      <c r="F44" s="11">
        <f>Table26[[#This Row],[Data]]/C170</f>
        <v>8.8549386234940911E-3</v>
      </c>
      <c r="H44" s="16" t="s">
        <v>416</v>
      </c>
      <c r="I44" s="17">
        <v>9453</v>
      </c>
      <c r="J44" s="85">
        <f>Table25[[#This Row],[TRUMP VOTES]]/C170</f>
        <v>0.35925208072055637</v>
      </c>
      <c r="K44" s="18">
        <v>0.78900000000000003</v>
      </c>
      <c r="L44" s="17">
        <v>2400</v>
      </c>
      <c r="M44" s="85">
        <f>Table25[[#This Row],[BIDEN VOTES]]/C170</f>
        <v>9.1209668224831827E-2</v>
      </c>
      <c r="N44" s="18">
        <v>0.2</v>
      </c>
      <c r="O44" s="21">
        <f>1-(Table25[[#This Row],[NbP]]+Table25[[#This Row],[NbP2]])</f>
        <v>0.54953825105461185</v>
      </c>
    </row>
    <row r="45" spans="1:15" ht="20">
      <c r="A45" s="13" t="s">
        <v>69</v>
      </c>
      <c r="B45" s="14" t="s">
        <v>1596</v>
      </c>
      <c r="C45" s="13">
        <v>2018</v>
      </c>
      <c r="D45" s="13" t="s">
        <v>297</v>
      </c>
      <c r="E45" s="13">
        <v>30</v>
      </c>
      <c r="F45" s="13">
        <f>Table26[[#This Row],[Data]]/C171</f>
        <v>2.7272727272727275E-3</v>
      </c>
      <c r="H45" s="16" t="s">
        <v>1643</v>
      </c>
      <c r="I45" s="17">
        <v>4838</v>
      </c>
      <c r="J45" s="85">
        <f>Table25[[#This Row],[TRUMP VOTES]]/C171</f>
        <v>0.43981818181818183</v>
      </c>
      <c r="K45" s="18">
        <v>0.83199999999999996</v>
      </c>
      <c r="L45" s="19">
        <v>920</v>
      </c>
      <c r="M45" s="85">
        <f>Table25[[#This Row],[BIDEN VOTES]]/C171</f>
        <v>8.3636363636363634E-2</v>
      </c>
      <c r="N45" s="18">
        <v>0.158</v>
      </c>
      <c r="O45" s="21">
        <f>1-(Table25[[#This Row],[NbP]]+Table25[[#This Row],[NbP2]])</f>
        <v>0.47654545454545449</v>
      </c>
    </row>
    <row r="46" spans="1:15" ht="20">
      <c r="A46" s="11" t="s">
        <v>69</v>
      </c>
      <c r="B46" s="12" t="s">
        <v>1597</v>
      </c>
      <c r="C46" s="11">
        <v>2018</v>
      </c>
      <c r="D46" s="11" t="s">
        <v>297</v>
      </c>
      <c r="E46" s="11">
        <v>253</v>
      </c>
      <c r="F46" s="11">
        <f>Table26[[#This Row],[Data]]/C172</f>
        <v>7.1551797279334819E-3</v>
      </c>
      <c r="H46" s="16" t="s">
        <v>1644</v>
      </c>
      <c r="I46" s="17">
        <v>13064</v>
      </c>
      <c r="J46" s="85">
        <f>Table25[[#This Row],[TRUMP VOTES]]/C172</f>
        <v>0.36946746231511074</v>
      </c>
      <c r="K46" s="18">
        <v>0.71899999999999997</v>
      </c>
      <c r="L46" s="17">
        <v>4873</v>
      </c>
      <c r="M46" s="85">
        <f>Table25[[#This Row],[BIDEN VOTES]]/C172</f>
        <v>0.13781498345541446</v>
      </c>
      <c r="N46" s="18">
        <v>0.26800000000000002</v>
      </c>
      <c r="O46" s="21">
        <f>1-(Table25[[#This Row],[NbP]]+Table25[[#This Row],[NbP2]])</f>
        <v>0.49271755422947483</v>
      </c>
    </row>
    <row r="47" spans="1:15" ht="20">
      <c r="A47" s="13" t="s">
        <v>69</v>
      </c>
      <c r="B47" s="14" t="s">
        <v>104</v>
      </c>
      <c r="C47" s="13">
        <v>2018</v>
      </c>
      <c r="D47" s="13" t="s">
        <v>297</v>
      </c>
      <c r="E47" s="13">
        <v>21</v>
      </c>
      <c r="F47" s="13">
        <f>Table26[[#This Row],[Data]]/C173</f>
        <v>2.4005486968449933E-3</v>
      </c>
      <c r="H47" s="16" t="s">
        <v>203</v>
      </c>
      <c r="I47" s="17">
        <v>3145</v>
      </c>
      <c r="J47" s="85">
        <f>Table25[[#This Row],[TRUMP VOTES]]/C173</f>
        <v>0.35951074531321447</v>
      </c>
      <c r="K47" s="18">
        <v>0.68600000000000005</v>
      </c>
      <c r="L47" s="17">
        <v>1351</v>
      </c>
      <c r="M47" s="85">
        <f>Table25[[#This Row],[BIDEN VOTES]]/C173</f>
        <v>0.15443529949702789</v>
      </c>
      <c r="N47" s="18">
        <v>0.29499999999999998</v>
      </c>
      <c r="O47" s="21">
        <f>1-(Table25[[#This Row],[NbP]]+Table25[[#This Row],[NbP2]])</f>
        <v>0.48605395518975758</v>
      </c>
    </row>
    <row r="48" spans="1:15" ht="20">
      <c r="A48" s="11" t="s">
        <v>69</v>
      </c>
      <c r="B48" s="12" t="s">
        <v>106</v>
      </c>
      <c r="C48" s="11">
        <v>2018</v>
      </c>
      <c r="D48" s="11" t="s">
        <v>297</v>
      </c>
      <c r="E48" s="11">
        <v>852</v>
      </c>
      <c r="F48" s="11">
        <f>Table26[[#This Row],[Data]]/C174</f>
        <v>7.7718080399901482E-3</v>
      </c>
      <c r="H48" s="16" t="s">
        <v>205</v>
      </c>
      <c r="I48" s="17">
        <v>29832</v>
      </c>
      <c r="J48" s="85">
        <f>Table25[[#This Row],[TRUMP VOTES]]/C174</f>
        <v>0.27212274348472548</v>
      </c>
      <c r="K48" s="18">
        <v>0.61</v>
      </c>
      <c r="L48" s="17">
        <v>18101</v>
      </c>
      <c r="M48" s="85">
        <f>Table25[[#This Row],[BIDEN VOTES]]/C174</f>
        <v>0.16511443348810056</v>
      </c>
      <c r="N48" s="18">
        <v>0.37</v>
      </c>
      <c r="O48" s="21">
        <f>1-(Table25[[#This Row],[NbP]]+Table25[[#This Row],[NbP2]])</f>
        <v>0.56276282302717395</v>
      </c>
    </row>
    <row r="49" spans="1:15" ht="20">
      <c r="A49" s="13" t="s">
        <v>69</v>
      </c>
      <c r="B49" s="14" t="s">
        <v>1598</v>
      </c>
      <c r="C49" s="13">
        <v>2018</v>
      </c>
      <c r="D49" s="13" t="s">
        <v>297</v>
      </c>
      <c r="E49" s="13">
        <v>176</v>
      </c>
      <c r="F49" s="13">
        <f>Table26[[#This Row],[Data]]/C175</f>
        <v>6.6902345383358045E-3</v>
      </c>
      <c r="H49" s="16" t="s">
        <v>1645</v>
      </c>
      <c r="I49" s="17">
        <v>9367</v>
      </c>
      <c r="J49" s="85">
        <f>Table25[[#This Row],[TRUMP VOTES]]/C175</f>
        <v>0.35606492568517883</v>
      </c>
      <c r="K49" s="18">
        <v>0.85399999999999998</v>
      </c>
      <c r="L49" s="17">
        <v>1494</v>
      </c>
      <c r="M49" s="85">
        <f>Table25[[#This Row],[BIDEN VOTES]]/C175</f>
        <v>5.6790968183373244E-2</v>
      </c>
      <c r="N49" s="18">
        <v>0.13600000000000001</v>
      </c>
      <c r="O49" s="21">
        <f>1-(Table25[[#This Row],[NbP]]+Table25[[#This Row],[NbP2]])</f>
        <v>0.58714410613144796</v>
      </c>
    </row>
    <row r="50" spans="1:15" ht="20">
      <c r="A50" s="11" t="s">
        <v>69</v>
      </c>
      <c r="B50" s="12" t="s">
        <v>651</v>
      </c>
      <c r="C50" s="11">
        <v>2018</v>
      </c>
      <c r="D50" s="11" t="s">
        <v>297</v>
      </c>
      <c r="E50" s="11">
        <v>115</v>
      </c>
      <c r="F50" s="11">
        <f>Table26[[#This Row],[Data]]/C176</f>
        <v>6.1290838352075893E-3</v>
      </c>
      <c r="H50" s="16" t="s">
        <v>424</v>
      </c>
      <c r="I50" s="17">
        <v>6334</v>
      </c>
      <c r="J50" s="85">
        <f>Table25[[#This Row],[TRUMP VOTES]]/C176</f>
        <v>0.33757927836699886</v>
      </c>
      <c r="K50" s="18">
        <v>0.71499999999999997</v>
      </c>
      <c r="L50" s="17">
        <v>2400</v>
      </c>
      <c r="M50" s="85">
        <f>Table25[[#This Row],[BIDEN VOTES]]/C176</f>
        <v>0.1279113148217236</v>
      </c>
      <c r="N50" s="18">
        <v>0.27100000000000002</v>
      </c>
      <c r="O50" s="21">
        <f>1-(Table25[[#This Row],[NbP]]+Table25[[#This Row],[NbP2]])</f>
        <v>0.53450940681127757</v>
      </c>
    </row>
    <row r="51" spans="1:15" ht="20">
      <c r="A51" s="13" t="s">
        <v>69</v>
      </c>
      <c r="B51" s="14" t="s">
        <v>1258</v>
      </c>
      <c r="C51" s="13">
        <v>2018</v>
      </c>
      <c r="D51" s="13" t="s">
        <v>297</v>
      </c>
      <c r="E51" s="13">
        <v>163</v>
      </c>
      <c r="F51" s="13">
        <f>Table26[[#This Row],[Data]]/C177</f>
        <v>8.6550204428396966E-3</v>
      </c>
      <c r="H51" s="16" t="s">
        <v>1351</v>
      </c>
      <c r="I51" s="17">
        <v>6345</v>
      </c>
      <c r="J51" s="85">
        <f>Table25[[#This Row],[TRUMP VOTES]]/C177</f>
        <v>0.33690861785164339</v>
      </c>
      <c r="K51" s="18">
        <v>0.75800000000000001</v>
      </c>
      <c r="L51" s="17">
        <v>1908</v>
      </c>
      <c r="M51" s="85">
        <f>Table25[[#This Row],[BIDEN VOTES]]/C177</f>
        <v>0.1013115276376573</v>
      </c>
      <c r="N51" s="18">
        <v>0.22800000000000001</v>
      </c>
      <c r="O51" s="21">
        <f>1-(Table25[[#This Row],[NbP]]+Table25[[#This Row],[NbP2]])</f>
        <v>0.56177985451069934</v>
      </c>
    </row>
    <row r="52" spans="1:15" ht="20">
      <c r="A52" s="11" t="s">
        <v>69</v>
      </c>
      <c r="B52" s="12" t="s">
        <v>109</v>
      </c>
      <c r="C52" s="11">
        <v>2018</v>
      </c>
      <c r="D52" s="11" t="s">
        <v>297</v>
      </c>
      <c r="E52" s="11">
        <v>233</v>
      </c>
      <c r="F52" s="11">
        <f>Table26[[#This Row],[Data]]/C178</f>
        <v>5.1152579582875958E-3</v>
      </c>
      <c r="H52" s="16" t="s">
        <v>208</v>
      </c>
      <c r="I52" s="17">
        <v>12730</v>
      </c>
      <c r="J52" s="85">
        <f>Table25[[#This Row],[TRUMP VOTES]]/C178</f>
        <v>0.27947310647639956</v>
      </c>
      <c r="K52" s="18">
        <v>0.61499999999999999</v>
      </c>
      <c r="L52" s="17">
        <v>7639</v>
      </c>
      <c r="M52" s="85">
        <f>Table25[[#This Row],[BIDEN VOTES]]/C178</f>
        <v>0.16770581778265642</v>
      </c>
      <c r="N52" s="18">
        <v>0.36899999999999999</v>
      </c>
      <c r="O52" s="21">
        <f>1-(Table25[[#This Row],[NbP]]+Table25[[#This Row],[NbP2]])</f>
        <v>0.55282107574094397</v>
      </c>
    </row>
    <row r="53" spans="1:15" ht="20">
      <c r="A53" s="13" t="s">
        <v>69</v>
      </c>
      <c r="B53" s="14" t="s">
        <v>110</v>
      </c>
      <c r="C53" s="13">
        <v>2018</v>
      </c>
      <c r="D53" s="13" t="s">
        <v>297</v>
      </c>
      <c r="E53" s="13">
        <v>67</v>
      </c>
      <c r="F53" s="13">
        <f>Table26[[#This Row],[Data]]/C179</f>
        <v>4.1877617351084445E-3</v>
      </c>
      <c r="H53" s="16" t="s">
        <v>209</v>
      </c>
      <c r="I53" s="17">
        <v>5843</v>
      </c>
      <c r="J53" s="85">
        <f>Table25[[#This Row],[TRUMP VOTES]]/C179</f>
        <v>0.36521032564535283</v>
      </c>
      <c r="K53" s="18">
        <v>0.72099999999999997</v>
      </c>
      <c r="L53" s="17">
        <v>2142</v>
      </c>
      <c r="M53" s="85">
        <f>Table25[[#This Row],[BIDEN VOTES]]/C179</f>
        <v>0.1338833677104819</v>
      </c>
      <c r="N53" s="18">
        <v>0.26400000000000001</v>
      </c>
      <c r="O53" s="21">
        <f>1-(Table25[[#This Row],[NbP]]+Table25[[#This Row],[NbP2]])</f>
        <v>0.50090630664416524</v>
      </c>
    </row>
    <row r="54" spans="1:15" ht="20">
      <c r="A54" s="11" t="s">
        <v>69</v>
      </c>
      <c r="B54" s="12" t="s">
        <v>111</v>
      </c>
      <c r="C54" s="11">
        <v>2018</v>
      </c>
      <c r="D54" s="11" t="s">
        <v>297</v>
      </c>
      <c r="E54" s="11">
        <v>80</v>
      </c>
      <c r="F54" s="11">
        <f>Table26[[#This Row],[Data]]/C180</f>
        <v>1.7933198834342075E-2</v>
      </c>
      <c r="H54" s="16" t="s">
        <v>210</v>
      </c>
      <c r="I54" s="17">
        <v>1714</v>
      </c>
      <c r="J54" s="85">
        <f>Table25[[#This Row],[TRUMP VOTES]]/C180</f>
        <v>0.384218785025779</v>
      </c>
      <c r="K54" s="18">
        <v>0.77900000000000003</v>
      </c>
      <c r="L54" s="19">
        <v>458</v>
      </c>
      <c r="M54" s="85">
        <f>Table25[[#This Row],[BIDEN VOTES]]/C180</f>
        <v>0.10266756332660838</v>
      </c>
      <c r="N54" s="18">
        <v>0.20799999999999999</v>
      </c>
      <c r="O54" s="21">
        <f>1-(Table25[[#This Row],[NbP]]+Table25[[#This Row],[NbP2]])</f>
        <v>0.51311365164761269</v>
      </c>
    </row>
    <row r="55" spans="1:15" ht="20">
      <c r="A55" s="13" t="s">
        <v>69</v>
      </c>
      <c r="B55" s="14" t="s">
        <v>660</v>
      </c>
      <c r="C55" s="13">
        <v>2018</v>
      </c>
      <c r="D55" s="13" t="s">
        <v>297</v>
      </c>
      <c r="E55" s="13">
        <v>136</v>
      </c>
      <c r="F55" s="13">
        <f>Table26[[#This Row],[Data]]/C181</f>
        <v>3.019270047065092E-3</v>
      </c>
      <c r="H55" s="16" t="s">
        <v>433</v>
      </c>
      <c r="I55" s="17">
        <v>15757</v>
      </c>
      <c r="J55" s="85">
        <f>Table25[[#This Row],[TRUMP VOTES]]/C181</f>
        <v>0.34981351567356361</v>
      </c>
      <c r="K55" s="18">
        <v>0.73299999999999998</v>
      </c>
      <c r="L55" s="17">
        <v>5439</v>
      </c>
      <c r="M55" s="85">
        <f>Table25[[#This Row],[BIDEN VOTES]]/C181</f>
        <v>0.12074860136755172</v>
      </c>
      <c r="N55" s="18">
        <v>0.253</v>
      </c>
      <c r="O55" s="21">
        <f>1-(Table25[[#This Row],[NbP]]+Table25[[#This Row],[NbP2]])</f>
        <v>0.52943788295888461</v>
      </c>
    </row>
    <row r="56" spans="1:15" ht="20">
      <c r="A56" s="11" t="s">
        <v>69</v>
      </c>
      <c r="B56" s="12" t="s">
        <v>114</v>
      </c>
      <c r="C56" s="11">
        <v>2018</v>
      </c>
      <c r="D56" s="11" t="s">
        <v>297</v>
      </c>
      <c r="E56" s="11">
        <v>103</v>
      </c>
      <c r="F56" s="11">
        <f>Table26[[#This Row],[Data]]/C182</f>
        <v>7.7049670855774983E-3</v>
      </c>
      <c r="H56" s="16" t="s">
        <v>213</v>
      </c>
      <c r="I56" s="17">
        <v>5453</v>
      </c>
      <c r="J56" s="85">
        <f>Table25[[#This Row],[TRUMP VOTES]]/C182</f>
        <v>0.40791442250149612</v>
      </c>
      <c r="K56" s="18">
        <v>0.89200000000000002</v>
      </c>
      <c r="L56" s="19">
        <v>605</v>
      </c>
      <c r="M56" s="85">
        <f>Table25[[#This Row],[BIDEN VOTES]]/C182</f>
        <v>4.5257330939557153E-2</v>
      </c>
      <c r="N56" s="18">
        <v>9.9000000000000005E-2</v>
      </c>
      <c r="O56" s="21">
        <f>1-(Table25[[#This Row],[NbP]]+Table25[[#This Row],[NbP2]])</f>
        <v>0.54682824655894668</v>
      </c>
    </row>
    <row r="57" spans="1:15" ht="20">
      <c r="A57" s="13" t="s">
        <v>69</v>
      </c>
      <c r="B57" s="14" t="s">
        <v>115</v>
      </c>
      <c r="C57" s="13">
        <v>2018</v>
      </c>
      <c r="D57" s="13" t="s">
        <v>297</v>
      </c>
      <c r="E57" s="13">
        <v>2376</v>
      </c>
      <c r="F57" s="13">
        <f>Table26[[#This Row],[Data]]/C183</f>
        <v>3.0920630541410349E-3</v>
      </c>
      <c r="H57" s="16" t="s">
        <v>214</v>
      </c>
      <c r="I57" s="17">
        <v>150646</v>
      </c>
      <c r="J57" s="85">
        <f>Table25[[#This Row],[TRUMP VOTES]]/C183</f>
        <v>0.19604668806992018</v>
      </c>
      <c r="K57" s="18">
        <v>0.39</v>
      </c>
      <c r="L57" s="17">
        <v>228358</v>
      </c>
      <c r="M57" s="85">
        <f>Table25[[#This Row],[BIDEN VOTES]]/C183</f>
        <v>0.29717901301243199</v>
      </c>
      <c r="N57" s="18">
        <v>0.59099999999999997</v>
      </c>
      <c r="O57" s="21">
        <f>1-(Table25[[#This Row],[NbP]]+Table25[[#This Row],[NbP2]])</f>
        <v>0.5067742989176478</v>
      </c>
    </row>
    <row r="58" spans="1:15" ht="20">
      <c r="A58" s="11" t="s">
        <v>69</v>
      </c>
      <c r="B58" s="12" t="s">
        <v>1599</v>
      </c>
      <c r="C58" s="11">
        <v>2018</v>
      </c>
      <c r="D58" s="11" t="s">
        <v>297</v>
      </c>
      <c r="E58" s="11">
        <v>333</v>
      </c>
      <c r="F58" s="11">
        <f>Table26[[#This Row],[Data]]/C184</f>
        <v>6.2270925274889666E-3</v>
      </c>
      <c r="H58" s="16" t="s">
        <v>1646</v>
      </c>
      <c r="I58" s="17">
        <v>17096</v>
      </c>
      <c r="J58" s="85">
        <f>Table25[[#This Row],[TRUMP VOTES]]/C184</f>
        <v>0.31969481636622038</v>
      </c>
      <c r="K58" s="18">
        <v>0.65100000000000002</v>
      </c>
      <c r="L58" s="17">
        <v>8567</v>
      </c>
      <c r="M58" s="85">
        <f>Table25[[#This Row],[BIDEN VOTES]]/C184</f>
        <v>0.16020270775675069</v>
      </c>
      <c r="N58" s="18">
        <v>0.32600000000000001</v>
      </c>
      <c r="O58" s="21">
        <f>1-(Table25[[#This Row],[NbP]]+Table25[[#This Row],[NbP2]])</f>
        <v>0.52010247587702896</v>
      </c>
    </row>
    <row r="59" spans="1:15" ht="20">
      <c r="A59" s="13" t="s">
        <v>69</v>
      </c>
      <c r="B59" s="14" t="s">
        <v>116</v>
      </c>
      <c r="C59" s="13">
        <v>2018</v>
      </c>
      <c r="D59" s="13" t="s">
        <v>297</v>
      </c>
      <c r="E59" s="13">
        <v>206</v>
      </c>
      <c r="F59" s="13">
        <f>Table26[[#This Row],[Data]]/C185</f>
        <v>9.1853569358362683E-3</v>
      </c>
      <c r="H59" s="16" t="s">
        <v>215</v>
      </c>
      <c r="I59" s="17">
        <v>8450</v>
      </c>
      <c r="J59" s="85">
        <f>Table25[[#This Row],[TRUMP VOTES]]/C185</f>
        <v>0.37677799081464308</v>
      </c>
      <c r="K59" s="18">
        <v>0.82899999999999996</v>
      </c>
      <c r="L59" s="17">
        <v>1608</v>
      </c>
      <c r="M59" s="85">
        <f>Table25[[#This Row],[BIDEN VOTES]]/C185</f>
        <v>7.1699291033129706E-2</v>
      </c>
      <c r="N59" s="18">
        <v>0.158</v>
      </c>
      <c r="O59" s="21">
        <f>1-(Table25[[#This Row],[NbP]]+Table25[[#This Row],[NbP2]])</f>
        <v>0.5515227181522272</v>
      </c>
    </row>
    <row r="60" spans="1:15" ht="20">
      <c r="A60" s="11" t="s">
        <v>69</v>
      </c>
      <c r="B60" s="12" t="s">
        <v>1600</v>
      </c>
      <c r="C60" s="11">
        <v>2018</v>
      </c>
      <c r="D60" s="11" t="s">
        <v>297</v>
      </c>
      <c r="E60" s="11">
        <v>940</v>
      </c>
      <c r="F60" s="11">
        <f>Table26[[#This Row],[Data]]/C186</f>
        <v>5.6438829914981503E-3</v>
      </c>
      <c r="H60" s="16" t="s">
        <v>1647</v>
      </c>
      <c r="I60" s="17">
        <v>48129</v>
      </c>
      <c r="J60" s="85">
        <f>Table25[[#This Row],[TRUMP VOTES]]/C186</f>
        <v>0.28897281329554736</v>
      </c>
      <c r="K60" s="18">
        <v>0.58599999999999997</v>
      </c>
      <c r="L60" s="17">
        <v>32271</v>
      </c>
      <c r="M60" s="85">
        <f>Table25[[#This Row],[BIDEN VOTES]]/C186</f>
        <v>0.19375930640280514</v>
      </c>
      <c r="N60" s="18">
        <v>0.39300000000000002</v>
      </c>
      <c r="O60" s="21">
        <f>1-(Table25[[#This Row],[NbP]]+Table25[[#This Row],[NbP2]])</f>
        <v>0.5172678803016475</v>
      </c>
    </row>
    <row r="61" spans="1:15" ht="20">
      <c r="A61" s="13" t="s">
        <v>69</v>
      </c>
      <c r="B61" s="14" t="s">
        <v>1601</v>
      </c>
      <c r="C61" s="13">
        <v>2018</v>
      </c>
      <c r="D61" s="13" t="s">
        <v>297</v>
      </c>
      <c r="E61" s="13">
        <v>133</v>
      </c>
      <c r="F61" s="13">
        <f>Table26[[#This Row],[Data]]/C187</f>
        <v>8.8424971743900002E-3</v>
      </c>
      <c r="H61" s="16" t="s">
        <v>1648</v>
      </c>
      <c r="I61" s="17">
        <v>4780</v>
      </c>
      <c r="J61" s="85">
        <f>Table25[[#This Row],[TRUMP VOTES]]/C187</f>
        <v>0.31779801874875341</v>
      </c>
      <c r="K61" s="18">
        <v>0.76500000000000001</v>
      </c>
      <c r="L61" s="17">
        <v>1412</v>
      </c>
      <c r="M61" s="85">
        <f>Table25[[#This Row],[BIDEN VOTES]]/C187</f>
        <v>9.3876736919087822E-2</v>
      </c>
      <c r="N61" s="18">
        <v>0.22600000000000001</v>
      </c>
      <c r="O61" s="21">
        <f>1-(Table25[[#This Row],[NbP]]+Table25[[#This Row],[NbP2]])</f>
        <v>0.58832524433215871</v>
      </c>
    </row>
    <row r="62" spans="1:15" ht="20">
      <c r="A62" s="11" t="s">
        <v>69</v>
      </c>
      <c r="B62" s="12" t="s">
        <v>117</v>
      </c>
      <c r="C62" s="11">
        <v>2018</v>
      </c>
      <c r="D62" s="11" t="s">
        <v>297</v>
      </c>
      <c r="E62" s="11">
        <v>370</v>
      </c>
      <c r="F62" s="11">
        <f>Table26[[#This Row],[Data]]/C188</f>
        <v>1.1825620046024036E-2</v>
      </c>
      <c r="H62" s="16" t="s">
        <v>216</v>
      </c>
      <c r="I62" s="17">
        <v>11012</v>
      </c>
      <c r="J62" s="85">
        <f>Table25[[#This Row],[TRUMP VOTES]]/C188</f>
        <v>0.35195602147788291</v>
      </c>
      <c r="K62" s="18">
        <v>0.83</v>
      </c>
      <c r="L62" s="17">
        <v>2114</v>
      </c>
      <c r="M62" s="85">
        <f>Table25[[#This Row],[BIDEN VOTES]]/C188</f>
        <v>6.7565839938634617E-2</v>
      </c>
      <c r="N62" s="18">
        <v>0.159</v>
      </c>
      <c r="O62" s="21">
        <f>1-(Table25[[#This Row],[NbP]]+Table25[[#This Row],[NbP2]])</f>
        <v>0.58047813858348252</v>
      </c>
    </row>
    <row r="63" spans="1:15" ht="20">
      <c r="A63" s="13" t="s">
        <v>69</v>
      </c>
      <c r="B63" s="14" t="s">
        <v>1602</v>
      </c>
      <c r="C63" s="13">
        <v>2018</v>
      </c>
      <c r="D63" s="13" t="s">
        <v>297</v>
      </c>
      <c r="E63" s="13">
        <v>172</v>
      </c>
      <c r="F63" s="13">
        <f>Table26[[#This Row],[Data]]/C189</f>
        <v>1.2054103300862009E-2</v>
      </c>
      <c r="H63" s="16" t="s">
        <v>1649</v>
      </c>
      <c r="I63" s="17">
        <v>5685</v>
      </c>
      <c r="J63" s="85">
        <f>Table25[[#This Row],[TRUMP VOTES]]/C189</f>
        <v>0.3984161468918635</v>
      </c>
      <c r="K63" s="18">
        <v>0.77900000000000003</v>
      </c>
      <c r="L63" s="17">
        <v>1504</v>
      </c>
      <c r="M63" s="85">
        <f>Table25[[#This Row],[BIDEN VOTES]]/C189</f>
        <v>0.10540332188660734</v>
      </c>
      <c r="N63" s="18">
        <v>0.20599999999999999</v>
      </c>
      <c r="O63" s="21">
        <f>1-(Table25[[#This Row],[NbP]]+Table25[[#This Row],[NbP2]])</f>
        <v>0.49618053122152916</v>
      </c>
    </row>
    <row r="64" spans="1:15" ht="20">
      <c r="A64" s="11" t="s">
        <v>69</v>
      </c>
      <c r="B64" s="12" t="s">
        <v>1603</v>
      </c>
      <c r="C64" s="11">
        <v>2018</v>
      </c>
      <c r="D64" s="11" t="s">
        <v>297</v>
      </c>
      <c r="E64" s="11">
        <v>642</v>
      </c>
      <c r="F64" s="11">
        <f>Table26[[#This Row],[Data]]/C190</f>
        <v>1.0588642773498705E-2</v>
      </c>
      <c r="H64" s="16" t="s">
        <v>1650</v>
      </c>
      <c r="I64" s="17">
        <v>23237</v>
      </c>
      <c r="J64" s="85">
        <f>Table25[[#This Row],[TRUMP VOTES]]/C190</f>
        <v>0.38325279147630748</v>
      </c>
      <c r="K64" s="18">
        <v>0.82699999999999996</v>
      </c>
      <c r="L64" s="17">
        <v>4475</v>
      </c>
      <c r="M64" s="85">
        <f>Table25[[#This Row],[BIDEN VOTES]]/C190</f>
        <v>7.3807128366677119E-2</v>
      </c>
      <c r="N64" s="18">
        <v>0.159</v>
      </c>
      <c r="O64" s="21">
        <f>1-(Table25[[#This Row],[NbP]]+Table25[[#This Row],[NbP2]])</f>
        <v>0.54294008015701545</v>
      </c>
    </row>
    <row r="65" spans="1:15" ht="20">
      <c r="A65" s="13" t="s">
        <v>69</v>
      </c>
      <c r="B65" s="14" t="s">
        <v>120</v>
      </c>
      <c r="C65" s="13">
        <v>2018</v>
      </c>
      <c r="D65" s="13" t="s">
        <v>297</v>
      </c>
      <c r="E65" s="13">
        <v>122</v>
      </c>
      <c r="F65" s="13">
        <f>Table26[[#This Row],[Data]]/C191</f>
        <v>7.8185080748526016E-3</v>
      </c>
      <c r="H65" s="16" t="s">
        <v>219</v>
      </c>
      <c r="I65" s="17">
        <v>5633</v>
      </c>
      <c r="J65" s="85">
        <f>Table25[[#This Row],[TRUMP VOTES]]/C191</f>
        <v>0.3609971802102025</v>
      </c>
      <c r="K65" s="18">
        <v>0.81</v>
      </c>
      <c r="L65" s="17">
        <v>1238</v>
      </c>
      <c r="M65" s="85">
        <f>Table25[[#This Row],[BIDEN VOTES]]/C191</f>
        <v>7.9338631120225586E-2</v>
      </c>
      <c r="N65" s="18">
        <v>0.17799999999999999</v>
      </c>
      <c r="O65" s="21">
        <f>1-(Table25[[#This Row],[NbP]]+Table25[[#This Row],[NbP2]])</f>
        <v>0.5596641886695719</v>
      </c>
    </row>
    <row r="66" spans="1:15" ht="20">
      <c r="A66" s="11" t="s">
        <v>69</v>
      </c>
      <c r="B66" s="12" t="s">
        <v>687</v>
      </c>
      <c r="C66" s="11">
        <v>2018</v>
      </c>
      <c r="D66" s="11" t="s">
        <v>297</v>
      </c>
      <c r="E66" s="11">
        <v>27</v>
      </c>
      <c r="F66" s="11">
        <f>Table26[[#This Row],[Data]]/C192</f>
        <v>3.8092550790067722E-3</v>
      </c>
      <c r="H66" s="16" t="s">
        <v>459</v>
      </c>
      <c r="I66" s="17">
        <v>2273</v>
      </c>
      <c r="J66" s="85">
        <f>Table25[[#This Row],[TRUMP VOTES]]/C192</f>
        <v>0.32068284424379234</v>
      </c>
      <c r="K66" s="18">
        <v>0.81100000000000005</v>
      </c>
      <c r="L66" s="19">
        <v>481</v>
      </c>
      <c r="M66" s="85">
        <f>Table25[[#This Row],[BIDEN VOTES]]/C192</f>
        <v>6.7861173814898423E-2</v>
      </c>
      <c r="N66" s="18">
        <v>0.17199999999999999</v>
      </c>
      <c r="O66" s="21">
        <f>1-(Table25[[#This Row],[NbP]]+Table25[[#This Row],[NbP2]])</f>
        <v>0.61145598194130923</v>
      </c>
    </row>
    <row r="67" spans="1:15" ht="20">
      <c r="A67" s="13" t="s">
        <v>69</v>
      </c>
      <c r="B67" s="14" t="s">
        <v>1604</v>
      </c>
      <c r="C67" s="13">
        <v>2018</v>
      </c>
      <c r="D67" s="13" t="s">
        <v>297</v>
      </c>
      <c r="E67" s="13">
        <v>62</v>
      </c>
      <c r="F67" s="13">
        <f>Table26[[#This Row],[Data]]/C193</f>
        <v>6.1501835135403232E-3</v>
      </c>
      <c r="H67" s="16" t="s">
        <v>1651</v>
      </c>
      <c r="I67" s="17">
        <v>4321</v>
      </c>
      <c r="J67" s="85">
        <f>Table25[[#This Row],[TRUMP VOTES]]/C193</f>
        <v>0.42862811229044739</v>
      </c>
      <c r="K67" s="18">
        <v>0.89800000000000002</v>
      </c>
      <c r="L67" s="19">
        <v>446</v>
      </c>
      <c r="M67" s="85">
        <f>Table25[[#This Row],[BIDEN VOTES]]/C193</f>
        <v>4.4241642694177165E-2</v>
      </c>
      <c r="N67" s="18">
        <v>9.2999999999999999E-2</v>
      </c>
      <c r="O67" s="21">
        <f>1-(Table25[[#This Row],[NbP]]+Table25[[#This Row],[NbP2]])</f>
        <v>0.52713024501537542</v>
      </c>
    </row>
    <row r="68" spans="1:15" ht="20">
      <c r="A68" s="11" t="s">
        <v>69</v>
      </c>
      <c r="B68" s="12" t="s">
        <v>1605</v>
      </c>
      <c r="C68" s="11">
        <v>2018</v>
      </c>
      <c r="D68" s="11" t="s">
        <v>297</v>
      </c>
      <c r="E68" s="11">
        <v>147</v>
      </c>
      <c r="F68" s="11">
        <f>Table26[[#This Row],[Data]]/C194</f>
        <v>6.7013129102844642E-3</v>
      </c>
      <c r="H68" s="16" t="s">
        <v>1652</v>
      </c>
      <c r="I68" s="17">
        <v>7226</v>
      </c>
      <c r="J68" s="85">
        <f>Table25[[#This Row],[TRUMP VOTES]]/C194</f>
        <v>0.32941283734500365</v>
      </c>
      <c r="K68" s="18">
        <v>0.79100000000000004</v>
      </c>
      <c r="L68" s="17">
        <v>1799</v>
      </c>
      <c r="M68" s="85">
        <f>Table25[[#This Row],[BIDEN VOTES]]/C194</f>
        <v>8.2011305616338445E-2</v>
      </c>
      <c r="N68" s="18">
        <v>0.19700000000000001</v>
      </c>
      <c r="O68" s="21">
        <f>1-(Table25[[#This Row],[NbP]]+Table25[[#This Row],[NbP2]])</f>
        <v>0.58857585703865789</v>
      </c>
    </row>
    <row r="69" spans="1:15" ht="20">
      <c r="A69" s="13" t="s">
        <v>69</v>
      </c>
      <c r="B69" s="14" t="s">
        <v>121</v>
      </c>
      <c r="C69" s="13">
        <v>2018</v>
      </c>
      <c r="D69" s="13" t="s">
        <v>297</v>
      </c>
      <c r="E69" s="13">
        <v>103</v>
      </c>
      <c r="F69" s="13">
        <f>Table26[[#This Row],[Data]]/C195</f>
        <v>7.7182465342825026E-3</v>
      </c>
      <c r="H69" s="16" t="s">
        <v>220</v>
      </c>
      <c r="I69" s="17">
        <v>4986</v>
      </c>
      <c r="J69" s="85">
        <f>Table25[[#This Row],[TRUMP VOTES]]/C195</f>
        <v>0.37362307980517045</v>
      </c>
      <c r="K69" s="18">
        <v>0.84799999999999998</v>
      </c>
      <c r="L69" s="19">
        <v>823</v>
      </c>
      <c r="M69" s="85">
        <f>Table25[[#This Row],[BIDEN VOTES]]/C195</f>
        <v>6.1671037841888349E-2</v>
      </c>
      <c r="N69" s="18">
        <v>0.14000000000000001</v>
      </c>
      <c r="O69" s="21">
        <f>1-(Table25[[#This Row],[NbP]]+Table25[[#This Row],[NbP2]])</f>
        <v>0.56470588235294117</v>
      </c>
    </row>
    <row r="70" spans="1:15" ht="20">
      <c r="A70" s="11" t="s">
        <v>69</v>
      </c>
      <c r="B70" s="12" t="s">
        <v>122</v>
      </c>
      <c r="C70" s="11">
        <v>2018</v>
      </c>
      <c r="D70" s="11" t="s">
        <v>297</v>
      </c>
      <c r="E70" s="11">
        <v>88</v>
      </c>
      <c r="F70" s="11">
        <f>Table26[[#This Row],[Data]]/C196</f>
        <v>3.5928632670558934E-3</v>
      </c>
      <c r="H70" s="16" t="s">
        <v>221</v>
      </c>
      <c r="I70" s="17">
        <v>8489</v>
      </c>
      <c r="J70" s="85">
        <f>Table25[[#This Row],[TRUMP VOTES]]/C196</f>
        <v>0.34658882129588048</v>
      </c>
      <c r="K70" s="18">
        <v>0.77800000000000002</v>
      </c>
      <c r="L70" s="17">
        <v>2254</v>
      </c>
      <c r="M70" s="85">
        <f>Table25[[#This Row],[BIDEN VOTES]]/C196</f>
        <v>9.2026293226636177E-2</v>
      </c>
      <c r="N70" s="18">
        <v>0.20699999999999999</v>
      </c>
      <c r="O70" s="21">
        <f>1-(Table25[[#This Row],[NbP]]+Table25[[#This Row],[NbP2]])</f>
        <v>0.56138488547748333</v>
      </c>
    </row>
    <row r="71" spans="1:15" ht="20">
      <c r="A71" s="13" t="s">
        <v>69</v>
      </c>
      <c r="B71" s="14" t="s">
        <v>1399</v>
      </c>
      <c r="C71" s="13">
        <v>2018</v>
      </c>
      <c r="D71" s="13" t="s">
        <v>297</v>
      </c>
      <c r="E71" s="13">
        <v>53</v>
      </c>
      <c r="F71" s="13">
        <f>Table26[[#This Row],[Data]]/C197</f>
        <v>5.7784561709550803E-3</v>
      </c>
      <c r="H71" s="16" t="s">
        <v>1407</v>
      </c>
      <c r="I71" s="17">
        <v>4010</v>
      </c>
      <c r="J71" s="85">
        <f>Table25[[#This Row],[TRUMP VOTES]]/C197</f>
        <v>0.43720017444395987</v>
      </c>
      <c r="K71" s="18">
        <v>0.80200000000000005</v>
      </c>
      <c r="L71" s="19">
        <v>939</v>
      </c>
      <c r="M71" s="85">
        <f>Table25[[#This Row],[BIDEN VOTES]]/C197</f>
        <v>0.10237679895333623</v>
      </c>
      <c r="N71" s="18">
        <v>0.188</v>
      </c>
      <c r="O71" s="21">
        <f>1-(Table25[[#This Row],[NbP]]+Table25[[#This Row],[NbP2]])</f>
        <v>0.46042302660270384</v>
      </c>
    </row>
    <row r="72" spans="1:15" ht="20">
      <c r="A72" s="11" t="s">
        <v>69</v>
      </c>
      <c r="B72" s="12" t="s">
        <v>869</v>
      </c>
      <c r="C72" s="11">
        <v>2018</v>
      </c>
      <c r="D72" s="11" t="s">
        <v>297</v>
      </c>
      <c r="E72" s="11">
        <v>155</v>
      </c>
      <c r="F72" s="11">
        <f>Table26[[#This Row],[Data]]/C198</f>
        <v>5.7303412325779143E-3</v>
      </c>
      <c r="H72" s="16" t="s">
        <v>837</v>
      </c>
      <c r="I72" s="17">
        <v>9067</v>
      </c>
      <c r="J72" s="85">
        <f>Table25[[#This Row],[TRUMP VOTES]]/C198</f>
        <v>0.33520647713408996</v>
      </c>
      <c r="K72" s="18">
        <v>0.73399999999999999</v>
      </c>
      <c r="L72" s="17">
        <v>3094</v>
      </c>
      <c r="M72" s="85">
        <f>Table25[[#This Row],[BIDEN VOTES]]/C198</f>
        <v>0.11438500499094237</v>
      </c>
      <c r="N72" s="18">
        <v>0.251</v>
      </c>
      <c r="O72" s="21">
        <f>1-(Table25[[#This Row],[NbP]]+Table25[[#This Row],[NbP2]])</f>
        <v>0.5504085178749677</v>
      </c>
    </row>
    <row r="73" spans="1:15" ht="20">
      <c r="A73" s="13" t="s">
        <v>69</v>
      </c>
      <c r="B73" s="14" t="s">
        <v>1511</v>
      </c>
      <c r="C73" s="13">
        <v>2018</v>
      </c>
      <c r="D73" s="13" t="s">
        <v>297</v>
      </c>
      <c r="E73" s="13">
        <v>37</v>
      </c>
      <c r="F73" s="13">
        <f>Table26[[#This Row],[Data]]/C199</f>
        <v>4.4979333819596401E-3</v>
      </c>
      <c r="H73" s="16" t="s">
        <v>1554</v>
      </c>
      <c r="I73" s="17">
        <v>3100</v>
      </c>
      <c r="J73" s="85">
        <f>Table25[[#This Row],[TRUMP VOTES]]/C199</f>
        <v>0.37685387794796987</v>
      </c>
      <c r="K73" s="18">
        <v>0.73299999999999998</v>
      </c>
      <c r="L73" s="17">
        <v>1092</v>
      </c>
      <c r="M73" s="85">
        <f>Table25[[#This Row],[BIDEN VOTES]]/C199</f>
        <v>0.13274981765134938</v>
      </c>
      <c r="N73" s="18">
        <v>0.25800000000000001</v>
      </c>
      <c r="O73" s="21">
        <f>1-(Table25[[#This Row],[NbP]]+Table25[[#This Row],[NbP2]])</f>
        <v>0.49039630440068072</v>
      </c>
    </row>
    <row r="74" spans="1:15" ht="20">
      <c r="A74" s="11" t="s">
        <v>69</v>
      </c>
      <c r="B74" s="12" t="s">
        <v>1606</v>
      </c>
      <c r="C74" s="11">
        <v>2018</v>
      </c>
      <c r="D74" s="11" t="s">
        <v>297</v>
      </c>
      <c r="E74" s="11">
        <v>214</v>
      </c>
      <c r="F74" s="11">
        <f>Table26[[#This Row],[Data]]/C200</f>
        <v>2.3238136605494624E-3</v>
      </c>
      <c r="H74" s="16" t="s">
        <v>1653</v>
      </c>
      <c r="I74" s="17">
        <v>21820</v>
      </c>
      <c r="J74" s="85">
        <f>Table25[[#This Row],[TRUMP VOTES]]/C200</f>
        <v>0.23694212183733304</v>
      </c>
      <c r="K74" s="18">
        <v>0.65100000000000002</v>
      </c>
      <c r="L74" s="17">
        <v>11195</v>
      </c>
      <c r="M74" s="85">
        <f>Table25[[#This Row],[BIDEN VOTES]]/C200</f>
        <v>0.12156585948528613</v>
      </c>
      <c r="N74" s="18">
        <v>0.33400000000000002</v>
      </c>
      <c r="O74" s="21">
        <f>1-(Table25[[#This Row],[NbP]]+Table25[[#This Row],[NbP2]])</f>
        <v>0.64149201867738082</v>
      </c>
    </row>
    <row r="75" spans="1:15" ht="20">
      <c r="A75" s="13" t="s">
        <v>69</v>
      </c>
      <c r="B75" s="14" t="s">
        <v>1607</v>
      </c>
      <c r="C75" s="13">
        <v>2018</v>
      </c>
      <c r="D75" s="13" t="s">
        <v>297</v>
      </c>
      <c r="E75" s="13">
        <v>138</v>
      </c>
      <c r="F75" s="13">
        <f>Table26[[#This Row],[Data]]/C201</f>
        <v>1.1177709379556132E-2</v>
      </c>
      <c r="H75" s="16" t="s">
        <v>1654</v>
      </c>
      <c r="I75" s="17">
        <v>5664</v>
      </c>
      <c r="J75" s="85">
        <f>Table25[[#This Row],[TRUMP VOTES]]/C201</f>
        <v>0.4587720719261299</v>
      </c>
      <c r="K75" s="18">
        <v>0.88</v>
      </c>
      <c r="L75" s="19">
        <v>725</v>
      </c>
      <c r="M75" s="85">
        <f>Table25[[#This Row],[BIDEN VOTES]]/C201</f>
        <v>5.8723473189697069E-2</v>
      </c>
      <c r="N75" s="18">
        <v>0.113</v>
      </c>
      <c r="O75" s="21">
        <f>1-(Table25[[#This Row],[NbP]]+Table25[[#This Row],[NbP2]])</f>
        <v>0.48250445488417304</v>
      </c>
    </row>
    <row r="76" spans="1:15" ht="20">
      <c r="A76" s="11" t="s">
        <v>69</v>
      </c>
      <c r="B76" s="12" t="s">
        <v>1400</v>
      </c>
      <c r="C76" s="11">
        <v>2018</v>
      </c>
      <c r="D76" s="11" t="s">
        <v>297</v>
      </c>
      <c r="E76" s="11">
        <v>80</v>
      </c>
      <c r="F76" s="11">
        <f>Table26[[#This Row],[Data]]/C202</f>
        <v>4.154333489120839E-3</v>
      </c>
      <c r="H76" s="16" t="s">
        <v>1408</v>
      </c>
      <c r="I76" s="17">
        <v>3633</v>
      </c>
      <c r="J76" s="85">
        <f>Table25[[#This Row],[TRUMP VOTES]]/C202</f>
        <v>0.18865866957470012</v>
      </c>
      <c r="K76" s="18">
        <v>0.76</v>
      </c>
      <c r="L76" s="17">
        <v>1074</v>
      </c>
      <c r="M76" s="85">
        <f>Table25[[#This Row],[BIDEN VOTES]]/C202</f>
        <v>5.5771927091447265E-2</v>
      </c>
      <c r="N76" s="18">
        <v>0.22500000000000001</v>
      </c>
      <c r="O76" s="21">
        <f>1-(Table25[[#This Row],[NbP]]+Table25[[#This Row],[NbP2]])</f>
        <v>0.75556940333385259</v>
      </c>
    </row>
    <row r="77" spans="1:15" ht="20">
      <c r="A77" s="13" t="s">
        <v>69</v>
      </c>
      <c r="B77" s="14" t="s">
        <v>125</v>
      </c>
      <c r="C77" s="13">
        <v>2018</v>
      </c>
      <c r="D77" s="13" t="s">
        <v>297</v>
      </c>
      <c r="E77" s="13">
        <v>432</v>
      </c>
      <c r="F77" s="13">
        <f>Table26[[#This Row],[Data]]/C203</f>
        <v>1.3835068054443555E-2</v>
      </c>
      <c r="H77" s="16" t="s">
        <v>226</v>
      </c>
      <c r="I77" s="17">
        <v>27356</v>
      </c>
      <c r="J77" s="85">
        <f>Table25[[#This Row],[TRUMP VOTES]]/C203</f>
        <v>0.87609287429943961</v>
      </c>
      <c r="K77" s="18">
        <v>0.623</v>
      </c>
      <c r="L77" s="17">
        <v>15581</v>
      </c>
      <c r="M77" s="85">
        <f>Table25[[#This Row],[BIDEN VOTES]]/C203</f>
        <v>0.4989911929543635</v>
      </c>
      <c r="N77" s="18">
        <v>0.35499999999999998</v>
      </c>
      <c r="O77" s="21">
        <f>1-(Table25[[#This Row],[NbP]]+Table25[[#This Row],[NbP2]])</f>
        <v>-0.37508406725380317</v>
      </c>
    </row>
    <row r="78" spans="1:15" ht="20">
      <c r="A78" s="11" t="s">
        <v>69</v>
      </c>
      <c r="B78" s="12" t="s">
        <v>1608</v>
      </c>
      <c r="C78" s="11">
        <v>2018</v>
      </c>
      <c r="D78" s="11" t="s">
        <v>297</v>
      </c>
      <c r="E78" s="11">
        <v>158</v>
      </c>
      <c r="F78" s="11">
        <f>Table26[[#This Row],[Data]]/C204</f>
        <v>1.3834165134401541E-2</v>
      </c>
      <c r="H78" s="16" t="s">
        <v>1655</v>
      </c>
      <c r="I78" s="17">
        <v>4174</v>
      </c>
      <c r="J78" s="85">
        <f>Table25[[#This Row],[TRUMP VOTES]]/C204</f>
        <v>0.365467121968304</v>
      </c>
      <c r="K78" s="18">
        <v>0.76600000000000001</v>
      </c>
      <c r="L78" s="17">
        <v>1214</v>
      </c>
      <c r="M78" s="85">
        <f>Table25[[#This Row],[BIDEN VOTES]]/C204</f>
        <v>0.1062954207162245</v>
      </c>
      <c r="N78" s="18">
        <v>0.223</v>
      </c>
      <c r="O78" s="21">
        <f>1-(Table25[[#This Row],[NbP]]+Table25[[#This Row],[NbP2]])</f>
        <v>0.52823745731547156</v>
      </c>
    </row>
    <row r="79" spans="1:15" ht="20">
      <c r="A79" s="13" t="s">
        <v>69</v>
      </c>
      <c r="B79" s="14" t="s">
        <v>126</v>
      </c>
      <c r="C79" s="13">
        <v>2018</v>
      </c>
      <c r="D79" s="13" t="s">
        <v>297</v>
      </c>
      <c r="E79" s="13">
        <v>139</v>
      </c>
      <c r="F79" s="13">
        <f>Table26[[#This Row],[Data]]/C205</f>
        <v>8.1182104894288055E-3</v>
      </c>
      <c r="H79" s="16" t="s">
        <v>227</v>
      </c>
      <c r="I79" s="17">
        <v>6113</v>
      </c>
      <c r="J79" s="85">
        <f>Table25[[#This Row],[TRUMP VOTES]]/C205</f>
        <v>0.35702604835883661</v>
      </c>
      <c r="K79" s="18">
        <v>0.68500000000000005</v>
      </c>
      <c r="L79" s="17">
        <v>2722</v>
      </c>
      <c r="M79" s="85">
        <f>Table25[[#This Row],[BIDEN VOTES]]/C205</f>
        <v>0.15897675505197992</v>
      </c>
      <c r="N79" s="18">
        <v>0.30499999999999999</v>
      </c>
      <c r="O79" s="21">
        <f>1-(Table25[[#This Row],[NbP]]+Table25[[#This Row],[NbP2]])</f>
        <v>0.4839971965891835</v>
      </c>
    </row>
    <row r="80" spans="1:15" ht="20">
      <c r="A80" s="11" t="s">
        <v>69</v>
      </c>
      <c r="B80" s="12" t="s">
        <v>127</v>
      </c>
      <c r="C80" s="11">
        <v>2018</v>
      </c>
      <c r="D80" s="11" t="s">
        <v>297</v>
      </c>
      <c r="E80" s="11">
        <v>110</v>
      </c>
      <c r="F80" s="11">
        <f>Table26[[#This Row],[Data]]/C206</f>
        <v>1.6797739940444378E-3</v>
      </c>
      <c r="H80" s="16" t="s">
        <v>228</v>
      </c>
      <c r="I80" s="17">
        <v>13297</v>
      </c>
      <c r="J80" s="85">
        <f>Table25[[#This Row],[TRUMP VOTES]]/C206</f>
        <v>0.20305413453462626</v>
      </c>
      <c r="K80" s="18">
        <v>0.755</v>
      </c>
      <c r="L80" s="17">
        <v>4071</v>
      </c>
      <c r="M80" s="85">
        <f>Table25[[#This Row],[BIDEN VOTES]]/C206</f>
        <v>6.2166908452317322E-2</v>
      </c>
      <c r="N80" s="18">
        <v>0.23100000000000001</v>
      </c>
      <c r="O80" s="21">
        <f>1-(Table25[[#This Row],[NbP]]+Table25[[#This Row],[NbP2]])</f>
        <v>0.7347789570130564</v>
      </c>
    </row>
    <row r="81" spans="1:15" ht="20">
      <c r="A81" s="13" t="s">
        <v>69</v>
      </c>
      <c r="B81" s="14" t="s">
        <v>700</v>
      </c>
      <c r="C81" s="13">
        <v>2018</v>
      </c>
      <c r="D81" s="13" t="s">
        <v>297</v>
      </c>
      <c r="E81" s="13">
        <v>126</v>
      </c>
      <c r="F81" s="13">
        <f>Table26[[#This Row],[Data]]/C207</f>
        <v>7.2693705648185546E-3</v>
      </c>
      <c r="H81" s="16" t="s">
        <v>469</v>
      </c>
      <c r="I81" s="17">
        <v>3496</v>
      </c>
      <c r="J81" s="85">
        <f>Table25[[#This Row],[TRUMP VOTES]]/C207</f>
        <v>0.20169618646512433</v>
      </c>
      <c r="K81" s="18">
        <v>0.89</v>
      </c>
      <c r="L81" s="19">
        <v>403</v>
      </c>
      <c r="M81" s="85">
        <f>Table25[[#This Row],[BIDEN VOTES]]/C207</f>
        <v>2.3250447123983154E-2</v>
      </c>
      <c r="N81" s="18">
        <v>0.10299999999999999</v>
      </c>
      <c r="O81" s="21">
        <f>1-(Table25[[#This Row],[NbP]]+Table25[[#This Row],[NbP2]])</f>
        <v>0.77505336641089251</v>
      </c>
    </row>
    <row r="82" spans="1:15" ht="20">
      <c r="A82" s="11" t="s">
        <v>69</v>
      </c>
      <c r="B82" s="12" t="s">
        <v>701</v>
      </c>
      <c r="C82" s="11">
        <v>2018</v>
      </c>
      <c r="D82" s="11" t="s">
        <v>297</v>
      </c>
      <c r="E82" s="11">
        <v>381</v>
      </c>
      <c r="F82" s="11">
        <f>Table26[[#This Row],[Data]]/C208</f>
        <v>4.1404042599434907E-2</v>
      </c>
      <c r="H82" s="16" t="s">
        <v>470</v>
      </c>
      <c r="I82" s="17">
        <v>5477</v>
      </c>
      <c r="J82" s="85">
        <f>Table25[[#This Row],[TRUMP VOTES]]/C208</f>
        <v>0.59519669637035422</v>
      </c>
      <c r="K82" s="18">
        <v>0.68799999999999994</v>
      </c>
      <c r="L82" s="17">
        <v>2362</v>
      </c>
      <c r="M82" s="85">
        <f>Table25[[#This Row],[BIDEN VOTES]]/C208</f>
        <v>0.25668332971093238</v>
      </c>
      <c r="N82" s="18">
        <v>0.29699999999999999</v>
      </c>
      <c r="O82" s="21">
        <f>1-(Table25[[#This Row],[NbP]]+Table25[[#This Row],[NbP2]])</f>
        <v>0.14811997391871334</v>
      </c>
    </row>
    <row r="83" spans="1:15" ht="20">
      <c r="A83" s="13" t="s">
        <v>69</v>
      </c>
      <c r="B83" s="14" t="s">
        <v>1609</v>
      </c>
      <c r="C83" s="13">
        <v>2018</v>
      </c>
      <c r="D83" s="13" t="s">
        <v>297</v>
      </c>
      <c r="E83" s="13">
        <v>130</v>
      </c>
      <c r="F83" s="13">
        <f>Table26[[#This Row],[Data]]/C209</f>
        <v>4.5808520384791572E-3</v>
      </c>
      <c r="H83" s="16" t="s">
        <v>1656</v>
      </c>
      <c r="I83" s="17">
        <v>10185</v>
      </c>
      <c r="J83" s="85">
        <f>Table25[[#This Row],[TRUMP VOTES]]/C209</f>
        <v>0.35889213855315549</v>
      </c>
      <c r="K83" s="18">
        <v>0.72199999999999998</v>
      </c>
      <c r="L83" s="17">
        <v>3632</v>
      </c>
      <c r="M83" s="85">
        <f>Table25[[#This Row],[BIDEN VOTES]]/C209</f>
        <v>0.12798195849043306</v>
      </c>
      <c r="N83" s="18">
        <v>0.25700000000000001</v>
      </c>
      <c r="O83" s="21">
        <f>1-(Table25[[#This Row],[NbP]]+Table25[[#This Row],[NbP2]])</f>
        <v>0.51312590295641147</v>
      </c>
    </row>
    <row r="84" spans="1:15" ht="20">
      <c r="A84" s="11" t="s">
        <v>69</v>
      </c>
      <c r="B84" s="12" t="s">
        <v>1610</v>
      </c>
      <c r="C84" s="11">
        <v>2018</v>
      </c>
      <c r="D84" s="11" t="s">
        <v>297</v>
      </c>
      <c r="E84" s="11">
        <v>49</v>
      </c>
      <c r="F84" s="11">
        <f>Table26[[#This Row],[Data]]/C210</f>
        <v>7.5816184434473154E-3</v>
      </c>
      <c r="H84" s="16" t="s">
        <v>1657</v>
      </c>
      <c r="I84" s="17">
        <v>2311</v>
      </c>
      <c r="J84" s="85">
        <f>Table25[[#This Row],[TRUMP VOTES]]/C210</f>
        <v>0.35757388209809687</v>
      </c>
      <c r="K84" s="18">
        <v>0.745</v>
      </c>
      <c r="L84" s="19">
        <v>750</v>
      </c>
      <c r="M84" s="85">
        <f>Table25[[#This Row],[BIDEN VOTES]]/C210</f>
        <v>0.11604518025684667</v>
      </c>
      <c r="N84" s="18">
        <v>0.24199999999999999</v>
      </c>
      <c r="O84" s="21">
        <f>1-(Table25[[#This Row],[NbP]]+Table25[[#This Row],[NbP2]])</f>
        <v>0.52638093764505645</v>
      </c>
    </row>
    <row r="85" spans="1:15" ht="20">
      <c r="A85" s="13" t="s">
        <v>69</v>
      </c>
      <c r="B85" s="14" t="s">
        <v>812</v>
      </c>
      <c r="C85" s="13">
        <v>2018</v>
      </c>
      <c r="D85" s="13" t="s">
        <v>297</v>
      </c>
      <c r="E85" s="13">
        <v>133</v>
      </c>
      <c r="F85" s="13">
        <f>Table26[[#This Row],[Data]]/C211</f>
        <v>6.131857999077916E-3</v>
      </c>
      <c r="H85" s="16" t="s">
        <v>794</v>
      </c>
      <c r="I85" s="17">
        <v>8506</v>
      </c>
      <c r="J85" s="85">
        <f>Table25[[#This Row],[TRUMP VOTES]]/C211</f>
        <v>0.39216228676809589</v>
      </c>
      <c r="K85" s="18">
        <v>0.72499999999999998</v>
      </c>
      <c r="L85" s="17">
        <v>3033</v>
      </c>
      <c r="M85" s="85">
        <f>Table25[[#This Row],[BIDEN VOTES]]/C211</f>
        <v>0.13983402489626556</v>
      </c>
      <c r="N85" s="18">
        <v>0.25800000000000001</v>
      </c>
      <c r="O85" s="21">
        <f>1-(Table25[[#This Row],[NbP]]+Table25[[#This Row],[NbP2]])</f>
        <v>0.46800368833563855</v>
      </c>
    </row>
    <row r="86" spans="1:15" ht="20">
      <c r="A86" s="11" t="s">
        <v>69</v>
      </c>
      <c r="B86" s="12" t="s">
        <v>1611</v>
      </c>
      <c r="C86" s="11">
        <v>2018</v>
      </c>
      <c r="D86" s="11" t="s">
        <v>297</v>
      </c>
      <c r="E86" s="11">
        <v>66</v>
      </c>
      <c r="F86" s="11">
        <f>Table26[[#This Row],[Data]]/C212</f>
        <v>6.5593321407274897E-3</v>
      </c>
      <c r="H86" s="16" t="s">
        <v>1658</v>
      </c>
      <c r="I86" s="17">
        <v>3959</v>
      </c>
      <c r="J86" s="85">
        <f>Table25[[#This Row],[TRUMP VOTES]]/C212</f>
        <v>0.3934605446233353</v>
      </c>
      <c r="K86" s="18">
        <v>0.79</v>
      </c>
      <c r="L86" s="19">
        <v>975</v>
      </c>
      <c r="M86" s="85">
        <f>Table25[[#This Row],[BIDEN VOTES]]/C212</f>
        <v>9.6899224806201556E-2</v>
      </c>
      <c r="N86" s="18">
        <v>0.19500000000000001</v>
      </c>
      <c r="O86" s="21">
        <f>1-(Table25[[#This Row],[NbP]]+Table25[[#This Row],[NbP2]])</f>
        <v>0.50964023057046315</v>
      </c>
    </row>
    <row r="87" spans="1:15" ht="20">
      <c r="A87" s="13" t="s">
        <v>69</v>
      </c>
      <c r="B87" s="14" t="s">
        <v>132</v>
      </c>
      <c r="C87" s="13">
        <v>2018</v>
      </c>
      <c r="D87" s="13" t="s">
        <v>297</v>
      </c>
      <c r="E87" s="13">
        <v>117</v>
      </c>
      <c r="F87" s="13">
        <f>Table26[[#This Row],[Data]]/C213</f>
        <v>1.1021100226073851E-2</v>
      </c>
      <c r="H87" s="16" t="s">
        <v>231</v>
      </c>
      <c r="I87" s="17">
        <v>4628</v>
      </c>
      <c r="J87" s="85">
        <f>Table25[[#This Row],[TRUMP VOTES]]/C213</f>
        <v>0.43594574227581012</v>
      </c>
      <c r="K87" s="18">
        <v>0.86799999999999999</v>
      </c>
      <c r="L87" s="19">
        <v>657</v>
      </c>
      <c r="M87" s="85">
        <f>Table25[[#This Row],[BIDEN VOTES]]/C213</f>
        <v>6.1887716654107007E-2</v>
      </c>
      <c r="N87" s="18">
        <v>0.123</v>
      </c>
      <c r="O87" s="21">
        <f>1-(Table25[[#This Row],[NbP]]+Table25[[#This Row],[NbP2]])</f>
        <v>0.50216654107008285</v>
      </c>
    </row>
    <row r="88" spans="1:15" ht="20">
      <c r="A88" s="11" t="s">
        <v>69</v>
      </c>
      <c r="B88" s="12" t="s">
        <v>133</v>
      </c>
      <c r="C88" s="11">
        <v>2018</v>
      </c>
      <c r="D88" s="11" t="s">
        <v>297</v>
      </c>
      <c r="E88" s="11">
        <v>297</v>
      </c>
      <c r="F88" s="11">
        <f>Table26[[#This Row],[Data]]/C214</f>
        <v>1.0591255973183082E-2</v>
      </c>
      <c r="H88" s="16" t="s">
        <v>232</v>
      </c>
      <c r="I88" s="17">
        <v>8993</v>
      </c>
      <c r="J88" s="85">
        <f>Table25[[#This Row],[TRUMP VOTES]]/C214</f>
        <v>0.32069752514086014</v>
      </c>
      <c r="K88" s="18">
        <v>0.70099999999999996</v>
      </c>
      <c r="L88" s="17">
        <v>3630</v>
      </c>
      <c r="M88" s="85">
        <f>Table25[[#This Row],[BIDEN VOTES]]/C214</f>
        <v>0.12944868411668212</v>
      </c>
      <c r="N88" s="18">
        <v>0.28299999999999997</v>
      </c>
      <c r="O88" s="21">
        <f>1-(Table25[[#This Row],[NbP]]+Table25[[#This Row],[NbP2]])</f>
        <v>0.54985379074245777</v>
      </c>
    </row>
    <row r="89" spans="1:15" ht="20">
      <c r="A89" s="13" t="s">
        <v>69</v>
      </c>
      <c r="B89" s="14" t="s">
        <v>135</v>
      </c>
      <c r="C89" s="13">
        <v>2018</v>
      </c>
      <c r="D89" s="13" t="s">
        <v>297</v>
      </c>
      <c r="E89" s="13">
        <v>90</v>
      </c>
      <c r="F89" s="13">
        <f>Table26[[#This Row],[Data]]/C215</f>
        <v>6.782215523737754E-3</v>
      </c>
      <c r="H89" s="16" t="s">
        <v>234</v>
      </c>
      <c r="I89" s="17">
        <v>4301</v>
      </c>
      <c r="J89" s="85">
        <f>Table25[[#This Row],[TRUMP VOTES]]/C215</f>
        <v>0.32411454408440088</v>
      </c>
      <c r="K89" s="18">
        <v>0.77600000000000002</v>
      </c>
      <c r="L89" s="17">
        <v>1175</v>
      </c>
      <c r="M89" s="85">
        <f>Table25[[#This Row],[BIDEN VOTES]]/C215</f>
        <v>8.854559155990957E-2</v>
      </c>
      <c r="N89" s="18">
        <v>0.21199999999999999</v>
      </c>
      <c r="O89" s="21">
        <f>1-(Table25[[#This Row],[NbP]]+Table25[[#This Row],[NbP2]])</f>
        <v>0.58733986435568952</v>
      </c>
    </row>
    <row r="90" spans="1:15" ht="20">
      <c r="A90" s="11" t="s">
        <v>69</v>
      </c>
      <c r="B90" s="12" t="s">
        <v>1612</v>
      </c>
      <c r="C90" s="11">
        <v>2018</v>
      </c>
      <c r="D90" s="11" t="s">
        <v>297</v>
      </c>
      <c r="E90" s="11">
        <v>39</v>
      </c>
      <c r="F90" s="11">
        <f>Table26[[#This Row],[Data]]/C216</f>
        <v>1.2656173941262372E-3</v>
      </c>
      <c r="H90" s="16" t="s">
        <v>1659</v>
      </c>
      <c r="I90" s="17">
        <v>10497</v>
      </c>
      <c r="J90" s="85">
        <f>Table25[[#This Row],[TRUMP VOTES]]/C216</f>
        <v>0.34064578938828494</v>
      </c>
      <c r="K90" s="18">
        <v>0.73799999999999999</v>
      </c>
      <c r="L90" s="17">
        <v>3545</v>
      </c>
      <c r="M90" s="85">
        <f>Table25[[#This Row],[BIDEN VOTES]]/C216</f>
        <v>0.11504137595326951</v>
      </c>
      <c r="N90" s="18">
        <v>0.249</v>
      </c>
      <c r="O90" s="21">
        <f>1-(Table25[[#This Row],[NbP]]+Table25[[#This Row],[NbP2]])</f>
        <v>0.5443128346584456</v>
      </c>
    </row>
    <row r="91" spans="1:15" ht="20">
      <c r="A91" s="13" t="s">
        <v>69</v>
      </c>
      <c r="B91" s="14" t="s">
        <v>1613</v>
      </c>
      <c r="C91" s="13">
        <v>2018</v>
      </c>
      <c r="D91" s="13" t="s">
        <v>297</v>
      </c>
      <c r="E91" s="13">
        <v>187</v>
      </c>
      <c r="F91" s="13">
        <f>Table26[[#This Row],[Data]]/C217</f>
        <v>4.0727431122726775E-3</v>
      </c>
      <c r="H91" s="16" t="s">
        <v>1660</v>
      </c>
      <c r="I91" s="17">
        <v>15703</v>
      </c>
      <c r="J91" s="85">
        <f>Table25[[#This Row],[TRUMP VOTES]]/C217</f>
        <v>0.34200152455624522</v>
      </c>
      <c r="K91" s="18">
        <v>0.67600000000000005</v>
      </c>
      <c r="L91" s="17">
        <v>7188</v>
      </c>
      <c r="M91" s="85">
        <f>Table25[[#This Row],[BIDEN VOTES]]/C217</f>
        <v>0.15655014701078079</v>
      </c>
      <c r="N91" s="18">
        <v>0.309</v>
      </c>
      <c r="O91" s="21">
        <f>1-(Table25[[#This Row],[NbP]]+Table25[[#This Row],[NbP2]])</f>
        <v>0.50144832843297404</v>
      </c>
    </row>
    <row r="92" spans="1:15" ht="20">
      <c r="A92" s="11" t="s">
        <v>69</v>
      </c>
      <c r="B92" s="12" t="s">
        <v>874</v>
      </c>
      <c r="C92" s="11">
        <v>2018</v>
      </c>
      <c r="D92" s="11" t="s">
        <v>297</v>
      </c>
      <c r="E92" s="11">
        <v>50</v>
      </c>
      <c r="F92" s="11">
        <f>Table26[[#This Row],[Data]]/C218</f>
        <v>6.9550702462094867E-3</v>
      </c>
      <c r="H92" s="16" t="s">
        <v>842</v>
      </c>
      <c r="I92" s="17">
        <v>2408</v>
      </c>
      <c r="J92" s="85">
        <f>Table25[[#This Row],[TRUMP VOTES]]/C218</f>
        <v>0.3349561830574489</v>
      </c>
      <c r="K92" s="18">
        <v>0.70899999999999996</v>
      </c>
      <c r="L92" s="19">
        <v>955</v>
      </c>
      <c r="M92" s="85">
        <f>Table25[[#This Row],[BIDEN VOTES]]/C218</f>
        <v>0.13284184170260119</v>
      </c>
      <c r="N92" s="18">
        <v>0.28100000000000003</v>
      </c>
      <c r="O92" s="21">
        <f>1-(Table25[[#This Row],[NbP]]+Table25[[#This Row],[NbP2]])</f>
        <v>0.53220197523994994</v>
      </c>
    </row>
    <row r="93" spans="1:15" ht="20">
      <c r="A93" s="13" t="s">
        <v>69</v>
      </c>
      <c r="B93" s="14" t="s">
        <v>9</v>
      </c>
      <c r="C93" s="13">
        <v>2018</v>
      </c>
      <c r="D93" s="13" t="s">
        <v>297</v>
      </c>
      <c r="E93" s="13">
        <v>134</v>
      </c>
      <c r="F93" s="13">
        <f>Table26[[#This Row],[Data]]/C219</f>
        <v>5.5645529670694735E-3</v>
      </c>
      <c r="H93" s="16" t="s">
        <v>843</v>
      </c>
      <c r="I93" s="17">
        <v>8582</v>
      </c>
      <c r="J93" s="85">
        <f>Table25[[#This Row],[TRUMP VOTES]]/C219</f>
        <v>0.35638054898052407</v>
      </c>
      <c r="K93" s="18">
        <v>0.77100000000000002</v>
      </c>
      <c r="L93" s="17">
        <v>2404</v>
      </c>
      <c r="M93" s="85">
        <f>Table25[[#This Row],[BIDEN VOTES]]/C219</f>
        <v>9.9829741289813548E-2</v>
      </c>
      <c r="N93" s="18">
        <v>0.216</v>
      </c>
      <c r="O93" s="21">
        <f>1-(Table25[[#This Row],[NbP]]+Table25[[#This Row],[NbP2]])</f>
        <v>0.54378970972966245</v>
      </c>
    </row>
    <row r="94" spans="1:15" ht="20">
      <c r="A94" s="11" t="s">
        <v>69</v>
      </c>
      <c r="B94" s="12" t="s">
        <v>719</v>
      </c>
      <c r="C94" s="11">
        <v>2018</v>
      </c>
      <c r="D94" s="11" t="s">
        <v>297</v>
      </c>
      <c r="E94" s="11">
        <v>113</v>
      </c>
      <c r="F94" s="11">
        <f>Table26[[#This Row],[Data]]/C220</f>
        <v>1.6990437240632706E-3</v>
      </c>
      <c r="H94" s="16" t="s">
        <v>490</v>
      </c>
      <c r="I94" s="17">
        <v>22654</v>
      </c>
      <c r="J94" s="85">
        <f>Table25[[#This Row],[TRUMP VOTES]]/C220</f>
        <v>0.34062067721176398</v>
      </c>
      <c r="K94" s="18">
        <v>0.59699999999999998</v>
      </c>
      <c r="L94" s="17">
        <v>14505</v>
      </c>
      <c r="M94" s="85">
        <f>Table25[[#This Row],[BIDEN VOTES]]/C220</f>
        <v>0.21809406387201541</v>
      </c>
      <c r="N94" s="18">
        <v>0.38200000000000001</v>
      </c>
      <c r="O94" s="21">
        <f>1-(Table25[[#This Row],[NbP]]+Table25[[#This Row],[NbP2]])</f>
        <v>0.44128525891622061</v>
      </c>
    </row>
    <row r="95" spans="1:15" ht="20">
      <c r="A95" s="13" t="s">
        <v>69</v>
      </c>
      <c r="B95" s="14" t="s">
        <v>1433</v>
      </c>
      <c r="C95" s="13">
        <v>2018</v>
      </c>
      <c r="D95" s="13" t="s">
        <v>297</v>
      </c>
      <c r="E95" s="13">
        <v>54</v>
      </c>
      <c r="F95" s="13">
        <f>Table26[[#This Row],[Data]]/C221</f>
        <v>4.9783350235088047E-3</v>
      </c>
      <c r="H95" s="16" t="s">
        <v>1470</v>
      </c>
      <c r="I95" s="17">
        <v>4292</v>
      </c>
      <c r="J95" s="85">
        <f>Table25[[#This Row],[TRUMP VOTES]]/C221</f>
        <v>0.39568544297962571</v>
      </c>
      <c r="K95" s="18">
        <v>0.78700000000000003</v>
      </c>
      <c r="L95" s="17">
        <v>1098</v>
      </c>
      <c r="M95" s="85">
        <f>Table25[[#This Row],[BIDEN VOTES]]/C221</f>
        <v>0.10122614547801236</v>
      </c>
      <c r="N95" s="18">
        <v>0.20100000000000001</v>
      </c>
      <c r="O95" s="21">
        <f>1-(Table25[[#This Row],[NbP]]+Table25[[#This Row],[NbP2]])</f>
        <v>0.50308841154236195</v>
      </c>
    </row>
    <row r="96" spans="1:15" ht="20">
      <c r="A96" s="11" t="s">
        <v>69</v>
      </c>
      <c r="B96" s="12" t="s">
        <v>1614</v>
      </c>
      <c r="C96" s="11">
        <v>2018</v>
      </c>
      <c r="D96" s="11" t="s">
        <v>297</v>
      </c>
      <c r="E96" s="11">
        <v>60</v>
      </c>
      <c r="F96" s="11">
        <f>Table26[[#This Row],[Data]]/C222</f>
        <v>1.358695652173913E-2</v>
      </c>
      <c r="H96" s="16" t="s">
        <v>1661</v>
      </c>
      <c r="I96" s="17">
        <v>1671</v>
      </c>
      <c r="J96" s="85">
        <f>Table25[[#This Row],[TRUMP VOTES]]/C222</f>
        <v>0.37839673913043476</v>
      </c>
      <c r="K96" s="18">
        <v>0.88100000000000001</v>
      </c>
      <c r="L96" s="19">
        <v>216</v>
      </c>
      <c r="M96" s="85">
        <f>Table25[[#This Row],[BIDEN VOTES]]/C222</f>
        <v>4.8913043478260872E-2</v>
      </c>
      <c r="N96" s="18">
        <v>0.114</v>
      </c>
      <c r="O96" s="21">
        <f>1-(Table25[[#This Row],[NbP]]+Table25[[#This Row],[NbP2]])</f>
        <v>0.57269021739130443</v>
      </c>
    </row>
    <row r="97" spans="1:15" ht="20">
      <c r="A97" s="13" t="s">
        <v>69</v>
      </c>
      <c r="B97" s="14" t="s">
        <v>875</v>
      </c>
      <c r="C97" s="13">
        <v>2018</v>
      </c>
      <c r="D97" s="13" t="s">
        <v>297</v>
      </c>
      <c r="E97" s="13">
        <v>59</v>
      </c>
      <c r="F97" s="13">
        <f>Table26[[#This Row],[Data]]/C223</f>
        <v>4.0446973332419279E-3</v>
      </c>
      <c r="H97" s="16" t="s">
        <v>844</v>
      </c>
      <c r="I97" s="17">
        <v>5515</v>
      </c>
      <c r="J97" s="85">
        <f>Table25[[#This Row],[TRUMP VOTES]]/C223</f>
        <v>0.37807636936998695</v>
      </c>
      <c r="K97" s="18">
        <v>0.79600000000000004</v>
      </c>
      <c r="L97" s="17">
        <v>1322</v>
      </c>
      <c r="M97" s="85">
        <f>Table25[[#This Row],[BIDEN VOTES]]/C223</f>
        <v>9.0628641941454716E-2</v>
      </c>
      <c r="N97" s="18">
        <v>0.191</v>
      </c>
      <c r="O97" s="21">
        <f>1-(Table25[[#This Row],[NbP]]+Table25[[#This Row],[NbP2]])</f>
        <v>0.53129498868855829</v>
      </c>
    </row>
    <row r="98" spans="1:15" ht="20">
      <c r="A98" s="11" t="s">
        <v>69</v>
      </c>
      <c r="B98" s="12" t="s">
        <v>138</v>
      </c>
      <c r="C98" s="11">
        <v>2018</v>
      </c>
      <c r="D98" s="11" t="s">
        <v>297</v>
      </c>
      <c r="E98" s="11">
        <v>300</v>
      </c>
      <c r="F98" s="11">
        <f>Table26[[#This Row],[Data]]/C224</f>
        <v>1.1421609685525013E-2</v>
      </c>
      <c r="H98" s="16" t="s">
        <v>237</v>
      </c>
      <c r="I98" s="17">
        <v>8129</v>
      </c>
      <c r="J98" s="85">
        <f>Table25[[#This Row],[TRUMP VOTES]]/C224</f>
        <v>0.30948755044544279</v>
      </c>
      <c r="K98" s="18">
        <v>0.76500000000000001</v>
      </c>
      <c r="L98" s="17">
        <v>2356</v>
      </c>
      <c r="M98" s="85">
        <f>Table25[[#This Row],[BIDEN VOTES]]/C224</f>
        <v>8.9697708063656442E-2</v>
      </c>
      <c r="N98" s="18">
        <v>0.222</v>
      </c>
      <c r="O98" s="21">
        <f>1-(Table25[[#This Row],[NbP]]+Table25[[#This Row],[NbP2]])</f>
        <v>0.60081474149090075</v>
      </c>
    </row>
    <row r="99" spans="1:15" ht="20">
      <c r="A99" s="13" t="s">
        <v>69</v>
      </c>
      <c r="B99" s="14" t="s">
        <v>913</v>
      </c>
      <c r="C99" s="13">
        <v>2018</v>
      </c>
      <c r="D99" s="13" t="s">
        <v>297</v>
      </c>
      <c r="E99" s="13">
        <v>328</v>
      </c>
      <c r="F99" s="13">
        <f>Table26[[#This Row],[Data]]/C225</f>
        <v>5.5977472480587083E-3</v>
      </c>
      <c r="H99" s="16" t="s">
        <v>945</v>
      </c>
      <c r="I99" s="17">
        <v>20284</v>
      </c>
      <c r="J99" s="85">
        <f>Table25[[#This Row],[TRUMP VOTES]]/C225</f>
        <v>0.34617288164519155</v>
      </c>
      <c r="K99" s="18">
        <v>0.79900000000000004</v>
      </c>
      <c r="L99" s="17">
        <v>4866</v>
      </c>
      <c r="M99" s="85">
        <f>Table25[[#This Row],[BIDEN VOTES]]/C225</f>
        <v>8.3044628381261199E-2</v>
      </c>
      <c r="N99" s="18">
        <v>0.192</v>
      </c>
      <c r="O99" s="21">
        <f>1-(Table25[[#This Row],[NbP]]+Table25[[#This Row],[NbP2]])</f>
        <v>0.57078248997354719</v>
      </c>
    </row>
    <row r="100" spans="1:15" ht="20">
      <c r="A100" s="11" t="s">
        <v>69</v>
      </c>
      <c r="B100" s="12" t="s">
        <v>1615</v>
      </c>
      <c r="C100" s="11">
        <v>2018</v>
      </c>
      <c r="D100" s="11" t="s">
        <v>297</v>
      </c>
      <c r="E100" s="11">
        <v>101</v>
      </c>
      <c r="F100" s="11">
        <f>Table26[[#This Row],[Data]]/C226</f>
        <v>8.2227468859399164E-3</v>
      </c>
      <c r="H100" s="16" t="s">
        <v>1662</v>
      </c>
      <c r="I100" s="17">
        <v>4041</v>
      </c>
      <c r="J100" s="85">
        <f>Table25[[#This Row],[TRUMP VOTES]]/C226</f>
        <v>0.32899128877310102</v>
      </c>
      <c r="K100" s="18">
        <v>0.73399999999999999</v>
      </c>
      <c r="L100" s="17">
        <v>1367</v>
      </c>
      <c r="M100" s="85">
        <f>Table25[[#This Row],[BIDEN VOTES]]/C226</f>
        <v>0.11129202963445413</v>
      </c>
      <c r="N100" s="18">
        <v>0.248</v>
      </c>
      <c r="O100" s="21">
        <f>1-(Table25[[#This Row],[NbP]]+Table25[[#This Row],[NbP2]])</f>
        <v>0.55971668159244481</v>
      </c>
    </row>
    <row r="101" spans="1:15" ht="20">
      <c r="A101" s="13" t="s">
        <v>69</v>
      </c>
      <c r="B101" s="14" t="s">
        <v>1277</v>
      </c>
      <c r="C101" s="13">
        <v>2018</v>
      </c>
      <c r="D101" s="13" t="s">
        <v>297</v>
      </c>
      <c r="E101" s="13">
        <v>511</v>
      </c>
      <c r="F101" s="13">
        <f>Table26[[#This Row],[Data]]/C227</f>
        <v>7.8871413357205697E-3</v>
      </c>
      <c r="H101" s="16" t="s">
        <v>1370</v>
      </c>
      <c r="I101" s="17">
        <v>25442</v>
      </c>
      <c r="J101" s="85">
        <f>Table25[[#This Row],[TRUMP VOTES]]/C227</f>
        <v>0.39269011714951613</v>
      </c>
      <c r="K101" s="18">
        <v>0.80700000000000005</v>
      </c>
      <c r="L101" s="17">
        <v>5666</v>
      </c>
      <c r="M101" s="85">
        <f>Table25[[#This Row],[BIDEN VOTES]]/C227</f>
        <v>8.7453117041473086E-2</v>
      </c>
      <c r="N101" s="18">
        <v>0.18</v>
      </c>
      <c r="O101" s="21">
        <f>1-(Table25[[#This Row],[NbP]]+Table25[[#This Row],[NbP2]])</f>
        <v>0.51985676580901075</v>
      </c>
    </row>
    <row r="102" spans="1:15" ht="20">
      <c r="A102" s="11" t="s">
        <v>69</v>
      </c>
      <c r="B102" s="12" t="s">
        <v>144</v>
      </c>
      <c r="C102" s="11">
        <v>2018</v>
      </c>
      <c r="D102" s="11" t="s">
        <v>297</v>
      </c>
      <c r="E102" s="11">
        <v>30</v>
      </c>
      <c r="F102" s="11">
        <f>Table26[[#This Row],[Data]]/C228</f>
        <v>1.4025245441795231E-2</v>
      </c>
      <c r="H102" s="16" t="s">
        <v>243</v>
      </c>
      <c r="I102" s="19">
        <v>884</v>
      </c>
      <c r="J102" s="85">
        <f>Table25[[#This Row],[TRUMP VOTES]]/C228</f>
        <v>0.41327723235156616</v>
      </c>
      <c r="K102" s="18">
        <v>0.77100000000000002</v>
      </c>
      <c r="L102" s="19">
        <v>253</v>
      </c>
      <c r="M102" s="85">
        <f>Table25[[#This Row],[BIDEN VOTES]]/C228</f>
        <v>0.11827956989247312</v>
      </c>
      <c r="N102" s="18">
        <v>0.221</v>
      </c>
      <c r="O102" s="21">
        <f>1-(Table25[[#This Row],[NbP]]+Table25[[#This Row],[NbP2]])</f>
        <v>0.46844319775596066</v>
      </c>
    </row>
    <row r="103" spans="1:15" ht="20">
      <c r="A103" s="13" t="s">
        <v>69</v>
      </c>
      <c r="B103" s="14" t="s">
        <v>1616</v>
      </c>
      <c r="C103" s="13">
        <v>2018</v>
      </c>
      <c r="D103" s="13" t="s">
        <v>297</v>
      </c>
      <c r="E103" s="13">
        <v>121</v>
      </c>
      <c r="F103" s="13">
        <f>Table26[[#This Row],[Data]]/C229</f>
        <v>7.2045251562965172E-3</v>
      </c>
      <c r="H103" s="16" t="s">
        <v>1663</v>
      </c>
      <c r="I103" s="17">
        <v>6577</v>
      </c>
      <c r="J103" s="85">
        <f>Table25[[#This Row],[TRUMP VOTES]]/C229</f>
        <v>0.39160464423935692</v>
      </c>
      <c r="K103" s="18">
        <v>0.84499999999999997</v>
      </c>
      <c r="L103" s="17">
        <v>1134</v>
      </c>
      <c r="M103" s="85">
        <f>Table25[[#This Row],[BIDEN VOTES]]/C229</f>
        <v>6.7520095266448352E-2</v>
      </c>
      <c r="N103" s="18">
        <v>0.14599999999999999</v>
      </c>
      <c r="O103" s="21">
        <f>1-(Table25[[#This Row],[NbP]]+Table25[[#This Row],[NbP2]])</f>
        <v>0.54087526049419465</v>
      </c>
    </row>
    <row r="104" spans="1:15" ht="20">
      <c r="A104" s="11" t="s">
        <v>69</v>
      </c>
      <c r="B104" s="12" t="s">
        <v>1617</v>
      </c>
      <c r="C104" s="11">
        <v>2018</v>
      </c>
      <c r="D104" s="11" t="s">
        <v>297</v>
      </c>
      <c r="E104" s="11">
        <v>214</v>
      </c>
      <c r="F104" s="11">
        <f>Table26[[#This Row],[Data]]/C230</f>
        <v>8.7225890600798883E-3</v>
      </c>
      <c r="H104" s="16" t="s">
        <v>1664</v>
      </c>
      <c r="I104" s="17">
        <v>5994</v>
      </c>
      <c r="J104" s="85">
        <f>Table25[[#This Row],[TRUMP VOTES]]/C230</f>
        <v>0.24431401320616289</v>
      </c>
      <c r="K104" s="18">
        <v>0.59599999999999997</v>
      </c>
      <c r="L104" s="17">
        <v>3880</v>
      </c>
      <c r="M104" s="85">
        <f>Table25[[#This Row],[BIDEN VOTES]]/C230</f>
        <v>0.15814787641640174</v>
      </c>
      <c r="N104" s="18">
        <v>0.38600000000000001</v>
      </c>
      <c r="O104" s="21">
        <f>1-(Table25[[#This Row],[NbP]]+Table25[[#This Row],[NbP2]])</f>
        <v>0.59753811037743532</v>
      </c>
    </row>
    <row r="105" spans="1:15" ht="20">
      <c r="A105" s="13" t="s">
        <v>69</v>
      </c>
      <c r="B105" s="14" t="s">
        <v>914</v>
      </c>
      <c r="C105" s="13">
        <v>2018</v>
      </c>
      <c r="D105" s="13" t="s">
        <v>297</v>
      </c>
      <c r="E105" s="13">
        <v>131</v>
      </c>
      <c r="F105" s="13">
        <f>Table26[[#This Row],[Data]]/C231</f>
        <v>7.3405805222458813E-3</v>
      </c>
      <c r="H105" s="16" t="s">
        <v>946</v>
      </c>
      <c r="I105" s="17">
        <v>7519</v>
      </c>
      <c r="J105" s="85">
        <f>Table25[[#This Row],[TRUMP VOTES]]/C231</f>
        <v>0.42132690799058614</v>
      </c>
      <c r="K105" s="18">
        <v>0.84</v>
      </c>
      <c r="L105" s="17">
        <v>1331</v>
      </c>
      <c r="M105" s="85">
        <f>Table25[[#This Row],[BIDEN VOTES]]/C231</f>
        <v>7.4582539504650908E-2</v>
      </c>
      <c r="N105" s="18">
        <v>0.14899999999999999</v>
      </c>
      <c r="O105" s="21">
        <f>1-(Table25[[#This Row],[NbP]]+Table25[[#This Row],[NbP2]])</f>
        <v>0.50409055250476298</v>
      </c>
    </row>
    <row r="106" spans="1:15" ht="20">
      <c r="A106" s="11" t="s">
        <v>69</v>
      </c>
      <c r="B106" s="12" t="s">
        <v>146</v>
      </c>
      <c r="C106" s="11">
        <v>2018</v>
      </c>
      <c r="D106" s="11" t="s">
        <v>297</v>
      </c>
      <c r="E106" s="11">
        <v>277</v>
      </c>
      <c r="F106" s="11">
        <f>Table26[[#This Row],[Data]]/C232</f>
        <v>4.9498758063651468E-3</v>
      </c>
      <c r="H106" s="16" t="s">
        <v>245</v>
      </c>
      <c r="I106" s="17">
        <v>17767</v>
      </c>
      <c r="J106" s="85">
        <f>Table25[[#This Row],[TRUMP VOTES]]/C232</f>
        <v>0.31748896552956524</v>
      </c>
      <c r="K106" s="18">
        <v>0.61399999999999999</v>
      </c>
      <c r="L106" s="17">
        <v>10567</v>
      </c>
      <c r="M106" s="85">
        <f>Table25[[#This Row],[BIDEN VOTES]]/C232</f>
        <v>0.18882793373956863</v>
      </c>
      <c r="N106" s="18">
        <v>0.36499999999999999</v>
      </c>
      <c r="O106" s="21">
        <f>1-(Table25[[#This Row],[NbP]]+Table25[[#This Row],[NbP2]])</f>
        <v>0.49368310073086619</v>
      </c>
    </row>
    <row r="107" spans="1:15" ht="20">
      <c r="A107" s="13" t="s">
        <v>69</v>
      </c>
      <c r="B107" s="14" t="s">
        <v>149</v>
      </c>
      <c r="C107" s="13">
        <v>2018</v>
      </c>
      <c r="D107" s="13" t="s">
        <v>297</v>
      </c>
      <c r="E107" s="13">
        <v>167</v>
      </c>
      <c r="F107" s="13">
        <f>Table26[[#This Row],[Data]]/C233</f>
        <v>3.4719334719334719E-3</v>
      </c>
      <c r="H107" s="16" t="s">
        <v>264</v>
      </c>
      <c r="I107" s="17">
        <v>15055</v>
      </c>
      <c r="J107" s="85">
        <f>Table25[[#This Row],[TRUMP VOTES]]/C233</f>
        <v>0.31299376299376297</v>
      </c>
      <c r="K107" s="18">
        <v>0.63900000000000001</v>
      </c>
      <c r="L107" s="17">
        <v>8077</v>
      </c>
      <c r="M107" s="85">
        <f>Table25[[#This Row],[BIDEN VOTES]]/C233</f>
        <v>0.16792099792099793</v>
      </c>
      <c r="N107" s="18">
        <v>0.34300000000000003</v>
      </c>
      <c r="O107" s="21">
        <f>1-(Table25[[#This Row],[NbP]]+Table25[[#This Row],[NbP2]])</f>
        <v>0.51908523908523907</v>
      </c>
    </row>
    <row r="108" spans="1:15" ht="20">
      <c r="A108" s="11" t="s">
        <v>69</v>
      </c>
      <c r="B108" s="12" t="s">
        <v>1618</v>
      </c>
      <c r="C108" s="11">
        <v>2018</v>
      </c>
      <c r="D108" s="11" t="s">
        <v>297</v>
      </c>
      <c r="E108" s="11">
        <v>142</v>
      </c>
      <c r="F108" s="11">
        <f>Table26[[#This Row],[Data]]/C234</f>
        <v>7.7515148206779849E-3</v>
      </c>
      <c r="H108" s="16" t="s">
        <v>1665</v>
      </c>
      <c r="I108" s="17">
        <v>5888</v>
      </c>
      <c r="J108" s="85">
        <f>Table25[[#This Row],[TRUMP VOTES]]/C234</f>
        <v>0.32141492439543645</v>
      </c>
      <c r="K108" s="18">
        <v>0.67400000000000004</v>
      </c>
      <c r="L108" s="17">
        <v>2681</v>
      </c>
      <c r="M108" s="85">
        <f>Table25[[#This Row],[BIDEN VOTES]]/C234</f>
        <v>0.14635078333970195</v>
      </c>
      <c r="N108" s="18">
        <v>0.307</v>
      </c>
      <c r="O108" s="21">
        <f>1-(Table25[[#This Row],[NbP]]+Table25[[#This Row],[NbP2]])</f>
        <v>0.53223429226486163</v>
      </c>
    </row>
    <row r="109" spans="1:15" ht="20">
      <c r="A109" s="13" t="s">
        <v>69</v>
      </c>
      <c r="B109" s="14" t="s">
        <v>1440</v>
      </c>
      <c r="C109" s="13">
        <v>2018</v>
      </c>
      <c r="D109" s="13" t="s">
        <v>297</v>
      </c>
      <c r="E109" s="13">
        <v>79</v>
      </c>
      <c r="F109" s="13">
        <f>Table26[[#This Row],[Data]]/C235</f>
        <v>4.1699656901557141E-3</v>
      </c>
      <c r="H109" s="16" t="s">
        <v>1477</v>
      </c>
      <c r="I109" s="17">
        <v>8737</v>
      </c>
      <c r="J109" s="85">
        <f>Table25[[#This Row],[TRUMP VOTES]]/C235</f>
        <v>0.46117709158089204</v>
      </c>
      <c r="K109" s="18">
        <v>0.76400000000000001</v>
      </c>
      <c r="L109" s="17">
        <v>2530</v>
      </c>
      <c r="M109" s="85">
        <f>Table25[[#This Row],[BIDEN VOTES]]/C235</f>
        <v>0.13354447083663235</v>
      </c>
      <c r="N109" s="18">
        <v>0.221</v>
      </c>
      <c r="O109" s="21">
        <f>1-(Table25[[#This Row],[NbP]]+Table25[[#This Row],[NbP2]])</f>
        <v>0.40527843758247561</v>
      </c>
    </row>
    <row r="110" spans="1:15" ht="20">
      <c r="A110" s="11" t="s">
        <v>69</v>
      </c>
      <c r="B110" s="12" t="s">
        <v>755</v>
      </c>
      <c r="C110" s="11">
        <v>2018</v>
      </c>
      <c r="D110" s="11" t="s">
        <v>297</v>
      </c>
      <c r="E110" s="11">
        <v>100</v>
      </c>
      <c r="F110" s="11">
        <f>Table26[[#This Row],[Data]]/C236</f>
        <v>3.9105271390583451E-3</v>
      </c>
      <c r="H110" s="16" t="s">
        <v>526</v>
      </c>
      <c r="I110" s="17">
        <v>9376</v>
      </c>
      <c r="J110" s="85">
        <f>Table25[[#This Row],[TRUMP VOTES]]/C236</f>
        <v>0.36665102455811044</v>
      </c>
      <c r="K110" s="18">
        <v>0.749</v>
      </c>
      <c r="L110" s="17">
        <v>2963</v>
      </c>
      <c r="M110" s="85">
        <f>Table25[[#This Row],[BIDEN VOTES]]/C236</f>
        <v>0.11586891913029876</v>
      </c>
      <c r="N110" s="18">
        <v>0.23699999999999999</v>
      </c>
      <c r="O110" s="21">
        <f>1-(Table25[[#This Row],[NbP]]+Table25[[#This Row],[NbP2]])</f>
        <v>0.51748005631159077</v>
      </c>
    </row>
    <row r="111" spans="1:15" ht="20">
      <c r="A111" s="13" t="s">
        <v>69</v>
      </c>
      <c r="B111" s="14" t="s">
        <v>1619</v>
      </c>
      <c r="C111" s="13">
        <v>2018</v>
      </c>
      <c r="D111" s="13" t="s">
        <v>297</v>
      </c>
      <c r="E111" s="13">
        <v>59</v>
      </c>
      <c r="F111" s="13">
        <f>Table26[[#This Row],[Data]]/C237</f>
        <v>4.7835252148532509E-3</v>
      </c>
      <c r="H111" s="16" t="s">
        <v>1666</v>
      </c>
      <c r="I111" s="17">
        <v>4062</v>
      </c>
      <c r="J111" s="85">
        <f>Table25[[#This Row],[TRUMP VOTES]]/C237</f>
        <v>0.32933354953786281</v>
      </c>
      <c r="K111" s="18">
        <v>0.75800000000000001</v>
      </c>
      <c r="L111" s="17">
        <v>1205</v>
      </c>
      <c r="M111" s="85">
        <f>Table25[[#This Row],[BIDEN VOTES]]/C237</f>
        <v>9.7697421760985892E-2</v>
      </c>
      <c r="N111" s="18">
        <v>0.22500000000000001</v>
      </c>
      <c r="O111" s="21">
        <f>1-(Table25[[#This Row],[NbP]]+Table25[[#This Row],[NbP2]])</f>
        <v>0.5729690287011513</v>
      </c>
    </row>
    <row r="112" spans="1:15" ht="20">
      <c r="A112" s="11" t="s">
        <v>69</v>
      </c>
      <c r="B112" s="12" t="s">
        <v>1620</v>
      </c>
      <c r="C112" s="11">
        <v>2018</v>
      </c>
      <c r="D112" s="11" t="s">
        <v>297</v>
      </c>
      <c r="E112" s="11">
        <v>60</v>
      </c>
      <c r="F112" s="11">
        <f>Table26[[#This Row],[Data]]/C238</f>
        <v>4.1183334477314848E-3</v>
      </c>
      <c r="H112" s="16" t="s">
        <v>1667</v>
      </c>
      <c r="I112" s="17">
        <v>5487</v>
      </c>
      <c r="J112" s="85">
        <f>Table25[[#This Row],[TRUMP VOTES]]/C238</f>
        <v>0.37662159379504428</v>
      </c>
      <c r="K112" s="18">
        <v>0.74399999999999999</v>
      </c>
      <c r="L112" s="17">
        <v>1791</v>
      </c>
      <c r="M112" s="85">
        <f>Table25[[#This Row],[BIDEN VOTES]]/C238</f>
        <v>0.12293225341478482</v>
      </c>
      <c r="N112" s="18">
        <v>0.24299999999999999</v>
      </c>
      <c r="O112" s="21">
        <f>1-(Table25[[#This Row],[NbP]]+Table25[[#This Row],[NbP2]])</f>
        <v>0.50044615279017091</v>
      </c>
    </row>
    <row r="113" spans="1:15" ht="20">
      <c r="A113" s="13" t="s">
        <v>69</v>
      </c>
      <c r="B113" s="14" t="s">
        <v>1621</v>
      </c>
      <c r="C113" s="13">
        <v>2018</v>
      </c>
      <c r="D113" s="13" t="s">
        <v>297</v>
      </c>
      <c r="E113" s="13">
        <v>47</v>
      </c>
      <c r="F113" s="13">
        <f>Table26[[#This Row],[Data]]/C239</f>
        <v>5.5112570356472797E-3</v>
      </c>
      <c r="H113" s="16" t="s">
        <v>1668</v>
      </c>
      <c r="I113" s="17">
        <v>3227</v>
      </c>
      <c r="J113" s="85">
        <f>Table25[[#This Row],[TRUMP VOTES]]/C239</f>
        <v>0.37840056285178236</v>
      </c>
      <c r="K113" s="18">
        <v>0.747</v>
      </c>
      <c r="L113" s="17">
        <v>1012</v>
      </c>
      <c r="M113" s="85">
        <f>Table25[[#This Row],[BIDEN VOTES]]/C239</f>
        <v>0.11866791744840526</v>
      </c>
      <c r="N113" s="18">
        <v>0.23400000000000001</v>
      </c>
      <c r="O113" s="21">
        <f>1-(Table25[[#This Row],[NbP]]+Table25[[#This Row],[NbP2]])</f>
        <v>0.50293151969981231</v>
      </c>
    </row>
    <row r="114" spans="1:15" ht="20">
      <c r="A114" s="11" t="s">
        <v>69</v>
      </c>
      <c r="B114" s="12" t="s">
        <v>157</v>
      </c>
      <c r="C114" s="11">
        <v>2018</v>
      </c>
      <c r="D114" s="11" t="s">
        <v>297</v>
      </c>
      <c r="E114" s="11">
        <v>122</v>
      </c>
      <c r="F114" s="11">
        <f>Table26[[#This Row],[Data]]/C240</f>
        <v>8.366479220957344E-3</v>
      </c>
      <c r="H114" s="16" t="s">
        <v>255</v>
      </c>
      <c r="I114" s="17">
        <v>4965</v>
      </c>
      <c r="J114" s="85">
        <f>Table25[[#This Row],[TRUMP VOTES]]/C240</f>
        <v>0.34048827321355096</v>
      </c>
      <c r="K114" s="18">
        <v>0.755</v>
      </c>
      <c r="L114" s="17">
        <v>1529</v>
      </c>
      <c r="M114" s="85">
        <f>Table25[[#This Row],[BIDEN VOTES]]/C240</f>
        <v>0.10485530105609656</v>
      </c>
      <c r="N114" s="18">
        <v>0.23300000000000001</v>
      </c>
      <c r="O114" s="21">
        <f>1-(Table25[[#This Row],[NbP]]+Table25[[#This Row],[NbP2]])</f>
        <v>0.55465642573035245</v>
      </c>
    </row>
    <row r="115" spans="1:15" ht="20">
      <c r="A115" s="13" t="s">
        <v>69</v>
      </c>
      <c r="B115" s="14" t="s">
        <v>159</v>
      </c>
      <c r="C115" s="13">
        <v>2018</v>
      </c>
      <c r="D115" s="13" t="s">
        <v>297</v>
      </c>
      <c r="E115" s="13">
        <v>462</v>
      </c>
      <c r="F115" s="13">
        <f>Table26[[#This Row],[Data]]/C241</f>
        <v>3.5311382188388516E-3</v>
      </c>
      <c r="H115" s="16" t="s">
        <v>257</v>
      </c>
      <c r="I115" s="17">
        <v>31791</v>
      </c>
      <c r="J115" s="85">
        <f>Table25[[#This Row],[TRUMP VOTES]]/C241</f>
        <v>0.24298358250022931</v>
      </c>
      <c r="K115" s="18">
        <v>0.57399999999999995</v>
      </c>
      <c r="L115" s="17">
        <v>22479</v>
      </c>
      <c r="M115" s="85">
        <f>Table25[[#This Row],[BIDEN VOTES]]/C241</f>
        <v>0.17181051086856827</v>
      </c>
      <c r="N115" s="18">
        <v>0.40600000000000003</v>
      </c>
      <c r="O115" s="21">
        <f>1-(Table25[[#This Row],[NbP]]+Table25[[#This Row],[NbP2]])</f>
        <v>0.58520590663120242</v>
      </c>
    </row>
    <row r="116" spans="1:15" ht="20">
      <c r="A116" s="11" t="s">
        <v>69</v>
      </c>
      <c r="B116" s="12" t="s">
        <v>38</v>
      </c>
      <c r="C116" s="11">
        <v>2018</v>
      </c>
      <c r="D116" s="11" t="s">
        <v>297</v>
      </c>
      <c r="E116" s="11">
        <v>59</v>
      </c>
      <c r="F116" s="11">
        <f>Table26[[#This Row],[Data]]/C242</f>
        <v>4.89870474925274E-3</v>
      </c>
      <c r="H116" s="16" t="s">
        <v>258</v>
      </c>
      <c r="I116" s="17">
        <v>4482</v>
      </c>
      <c r="J116" s="85">
        <f>Table25[[#This Row],[TRUMP VOTES]]/C242</f>
        <v>0.37213550315509797</v>
      </c>
      <c r="K116" s="18">
        <v>0.72</v>
      </c>
      <c r="L116" s="17">
        <v>1644</v>
      </c>
      <c r="M116" s="85">
        <f>Table25[[#This Row],[BIDEN VOTES]]/C242</f>
        <v>0.13649950182663567</v>
      </c>
      <c r="N116" s="18">
        <v>0.26400000000000001</v>
      </c>
      <c r="O116" s="21">
        <f>1-(Table25[[#This Row],[NbP]]+Table25[[#This Row],[NbP2]])</f>
        <v>0.49136499501826636</v>
      </c>
    </row>
    <row r="117" spans="1:15" ht="20">
      <c r="A117" s="13" t="s">
        <v>69</v>
      </c>
      <c r="B117" s="14" t="s">
        <v>160</v>
      </c>
      <c r="C117" s="13">
        <v>2018</v>
      </c>
      <c r="D117" s="13" t="s">
        <v>297</v>
      </c>
      <c r="E117" s="13">
        <v>46</v>
      </c>
      <c r="F117" s="13">
        <f>Table26[[#This Row],[Data]]/C243</f>
        <v>2.2497187851518562E-3</v>
      </c>
      <c r="H117" s="16" t="s">
        <v>259</v>
      </c>
      <c r="I117" s="17">
        <v>7430</v>
      </c>
      <c r="J117" s="85">
        <f>Table25[[#This Row],[TRUMP VOTES]]/C243</f>
        <v>0.36337849073213674</v>
      </c>
      <c r="K117" s="18">
        <v>0.80400000000000005</v>
      </c>
      <c r="L117" s="17">
        <v>1700</v>
      </c>
      <c r="M117" s="85">
        <f>Table25[[#This Row],[BIDEN VOTES]]/C243</f>
        <v>8.3141781190394684E-2</v>
      </c>
      <c r="N117" s="18">
        <v>0.184</v>
      </c>
      <c r="O117" s="21">
        <f>1-(Table25[[#This Row],[NbP]]+Table25[[#This Row],[NbP2]])</f>
        <v>0.55347972807746859</v>
      </c>
    </row>
    <row r="118" spans="1:15" ht="20">
      <c r="A118" s="11" t="s">
        <v>69</v>
      </c>
      <c r="B118" s="12" t="s">
        <v>884</v>
      </c>
      <c r="C118" s="11">
        <v>2018</v>
      </c>
      <c r="D118" s="11" t="s">
        <v>297</v>
      </c>
      <c r="E118" s="11">
        <v>37</v>
      </c>
      <c r="F118" s="11">
        <f>Table26[[#This Row],[Data]]/C244</f>
        <v>2.8415636279855616E-3</v>
      </c>
      <c r="H118" s="16" t="s">
        <v>853</v>
      </c>
      <c r="I118" s="17">
        <v>4506</v>
      </c>
      <c r="J118" s="85">
        <f>Table25[[#This Row],[TRUMP VOTES]]/C244</f>
        <v>0.34605637047845789</v>
      </c>
      <c r="K118" s="18">
        <v>0.752</v>
      </c>
      <c r="L118" s="17">
        <v>1412</v>
      </c>
      <c r="M118" s="85">
        <f>Table25[[#This Row],[BIDEN VOTES]]/C244</f>
        <v>0.10844021196528685</v>
      </c>
      <c r="N118" s="18">
        <v>0.23599999999999999</v>
      </c>
      <c r="O118" s="21">
        <f>1-(Table25[[#This Row],[NbP]]+Table25[[#This Row],[NbP2]])</f>
        <v>0.5455034175562552</v>
      </c>
    </row>
    <row r="119" spans="1:15" ht="20">
      <c r="A119" s="13" t="s">
        <v>69</v>
      </c>
      <c r="B119" s="14" t="s">
        <v>1451</v>
      </c>
      <c r="C119" s="13">
        <v>2018</v>
      </c>
      <c r="D119" s="13" t="s">
        <v>297</v>
      </c>
      <c r="E119" s="13">
        <v>413</v>
      </c>
      <c r="F119" s="13">
        <f>Table26[[#This Row],[Data]]/C245</f>
        <v>1.1392474897936666E-2</v>
      </c>
      <c r="H119" s="16" t="s">
        <v>1487</v>
      </c>
      <c r="I119" s="17">
        <v>12567</v>
      </c>
      <c r="J119" s="85">
        <f>Table25[[#This Row],[TRUMP VOTES]]/C245</f>
        <v>0.34665673618007281</v>
      </c>
      <c r="K119" s="18">
        <v>0.81899999999999995</v>
      </c>
      <c r="L119" s="17">
        <v>2552</v>
      </c>
      <c r="M119" s="85">
        <f>Table25[[#This Row],[BIDEN VOTES]]/C245</f>
        <v>7.0396116076354404E-2</v>
      </c>
      <c r="N119" s="18">
        <v>0.16600000000000001</v>
      </c>
      <c r="O119" s="21">
        <f>1-(Table25[[#This Row],[NbP]]+Table25[[#This Row],[NbP2]])</f>
        <v>0.58294714774357281</v>
      </c>
    </row>
    <row r="120" spans="1:15" ht="20">
      <c r="A120" s="11" t="s">
        <v>69</v>
      </c>
      <c r="B120" s="12" t="s">
        <v>1622</v>
      </c>
      <c r="C120" s="11">
        <v>2018</v>
      </c>
      <c r="D120" s="11" t="s">
        <v>297</v>
      </c>
      <c r="E120" s="11">
        <v>32</v>
      </c>
      <c r="F120" s="11">
        <f>Table26[[#This Row],[Data]]/C246</f>
        <v>4.4518642181413468E-3</v>
      </c>
      <c r="H120" s="16" t="s">
        <v>1669</v>
      </c>
      <c r="I120" s="17">
        <v>2097</v>
      </c>
      <c r="J120" s="85">
        <f>Table25[[#This Row],[TRUMP VOTES]]/C246</f>
        <v>0.29173622704507512</v>
      </c>
      <c r="K120" s="18">
        <v>0.70399999999999996</v>
      </c>
      <c r="L120" s="19">
        <v>839</v>
      </c>
      <c r="M120" s="85">
        <f>Table25[[#This Row],[BIDEN VOTES]]/C246</f>
        <v>0.11672231496939343</v>
      </c>
      <c r="N120" s="18">
        <v>0.28199999999999997</v>
      </c>
      <c r="O120" s="21">
        <f>1-(Table25[[#This Row],[NbP]]+Table25[[#This Row],[NbP2]])</f>
        <v>0.59154145798553137</v>
      </c>
    </row>
    <row r="121" spans="1:15" ht="20">
      <c r="A121" s="70" t="s">
        <v>69</v>
      </c>
      <c r="B121" s="71" t="s">
        <v>1402</v>
      </c>
      <c r="C121" s="70">
        <v>2018</v>
      </c>
      <c r="D121" s="70" t="s">
        <v>297</v>
      </c>
      <c r="E121" s="70">
        <v>153</v>
      </c>
      <c r="F121" s="70">
        <f>Table26[[#This Row],[Data]]/C247</f>
        <v>5.7766367137355584E-3</v>
      </c>
      <c r="H121" s="16" t="s">
        <v>1414</v>
      </c>
      <c r="I121" s="17">
        <v>8362</v>
      </c>
      <c r="J121" s="85">
        <f>Table25[[#This Row],[TRUMP VOTES]]/C247</f>
        <v>0.31571396209318131</v>
      </c>
      <c r="K121" s="18">
        <v>0.55000000000000004</v>
      </c>
      <c r="L121" s="17">
        <v>6530</v>
      </c>
      <c r="M121" s="85">
        <f>Table25[[#This Row],[BIDEN VOTES]]/C247</f>
        <v>0.24654534471041306</v>
      </c>
      <c r="N121" s="18">
        <v>0.42899999999999999</v>
      </c>
      <c r="O121" s="21">
        <f>1-(Table25[[#This Row],[NbP]]+Table25[[#This Row],[NbP2]])</f>
        <v>0.43774069319640563</v>
      </c>
    </row>
    <row r="127" spans="1:15" ht="21">
      <c r="A127" s="77" t="s">
        <v>1670</v>
      </c>
      <c r="B127" s="77" t="s">
        <v>69</v>
      </c>
      <c r="C127" s="77" t="s">
        <v>54</v>
      </c>
    </row>
    <row r="128" spans="1:15" ht="21">
      <c r="A128" s="52">
        <v>59</v>
      </c>
      <c r="B128" s="53" t="s">
        <v>1531</v>
      </c>
      <c r="C128" s="54">
        <v>19366</v>
      </c>
    </row>
    <row r="129" spans="1:3" ht="21">
      <c r="A129" s="52">
        <v>54</v>
      </c>
      <c r="B129" s="53" t="s">
        <v>1452</v>
      </c>
      <c r="C129" s="54">
        <v>21065</v>
      </c>
    </row>
    <row r="130" spans="1:3" ht="21">
      <c r="A130" s="52">
        <v>50</v>
      </c>
      <c r="B130" s="53" t="s">
        <v>170</v>
      </c>
      <c r="C130" s="54">
        <v>22580</v>
      </c>
    </row>
    <row r="131" spans="1:3" ht="21">
      <c r="A131" s="52">
        <v>109</v>
      </c>
      <c r="B131" s="52" t="s">
        <v>1623</v>
      </c>
      <c r="C131" s="54">
        <v>7914</v>
      </c>
    </row>
    <row r="132" spans="1:3" ht="21">
      <c r="A132" s="52">
        <v>25</v>
      </c>
      <c r="B132" s="53" t="s">
        <v>1624</v>
      </c>
      <c r="C132" s="54">
        <v>44026</v>
      </c>
    </row>
    <row r="133" spans="1:3" ht="21">
      <c r="A133" s="52">
        <v>87</v>
      </c>
      <c r="B133" s="53" t="s">
        <v>1625</v>
      </c>
      <c r="C133" s="54">
        <v>12421</v>
      </c>
    </row>
    <row r="134" spans="1:3" ht="21">
      <c r="A134" s="52">
        <v>41</v>
      </c>
      <c r="B134" s="53" t="s">
        <v>343</v>
      </c>
      <c r="C134" s="54">
        <v>26426</v>
      </c>
    </row>
    <row r="135" spans="1:3" ht="21">
      <c r="A135" s="52">
        <v>4</v>
      </c>
      <c r="B135" s="53" t="s">
        <v>827</v>
      </c>
      <c r="C135" s="54">
        <v>132368</v>
      </c>
    </row>
    <row r="136" spans="1:3" ht="21">
      <c r="A136" s="52">
        <v>58</v>
      </c>
      <c r="B136" s="53" t="s">
        <v>1626</v>
      </c>
      <c r="C136" s="54">
        <v>19998</v>
      </c>
    </row>
    <row r="137" spans="1:3" ht="21">
      <c r="A137" s="52">
        <v>21</v>
      </c>
      <c r="B137" s="53" t="s">
        <v>1627</v>
      </c>
      <c r="C137" s="54">
        <v>47361</v>
      </c>
    </row>
    <row r="138" spans="1:3" ht="21">
      <c r="A138" s="52">
        <v>35</v>
      </c>
      <c r="B138" s="53" t="s">
        <v>1628</v>
      </c>
      <c r="C138" s="54">
        <v>30090</v>
      </c>
    </row>
    <row r="139" spans="1:3" ht="21">
      <c r="A139" s="52">
        <v>107</v>
      </c>
      <c r="B139" s="52" t="s">
        <v>1629</v>
      </c>
      <c r="C139" s="54">
        <v>8308</v>
      </c>
    </row>
    <row r="140" spans="1:3" ht="21">
      <c r="A140" s="52">
        <v>84</v>
      </c>
      <c r="B140" s="53" t="s">
        <v>1630</v>
      </c>
      <c r="C140" s="54">
        <v>12802</v>
      </c>
    </row>
    <row r="141" spans="1:3" ht="21">
      <c r="A141" s="52">
        <v>56</v>
      </c>
      <c r="B141" s="53" t="s">
        <v>1631</v>
      </c>
      <c r="C141" s="54">
        <v>20283</v>
      </c>
    </row>
    <row r="142" spans="1:3" ht="21">
      <c r="A142" s="52">
        <v>10</v>
      </c>
      <c r="B142" s="53" t="s">
        <v>1632</v>
      </c>
      <c r="C142" s="54">
        <v>80921</v>
      </c>
    </row>
    <row r="143" spans="1:3" ht="21">
      <c r="A143" s="52">
        <v>85</v>
      </c>
      <c r="B143" s="53" t="s">
        <v>926</v>
      </c>
      <c r="C143" s="54">
        <v>12756</v>
      </c>
    </row>
    <row r="144" spans="1:3" ht="21">
      <c r="A144" s="52">
        <v>86</v>
      </c>
      <c r="B144" s="53" t="s">
        <v>357</v>
      </c>
      <c r="C144" s="54">
        <v>12679</v>
      </c>
    </row>
    <row r="145" spans="1:3" ht="21">
      <c r="A145" s="52">
        <v>26</v>
      </c>
      <c r="B145" s="53" t="s">
        <v>1633</v>
      </c>
      <c r="C145" s="54">
        <v>38991</v>
      </c>
    </row>
    <row r="146" spans="1:3" ht="21">
      <c r="A146" s="52">
        <v>8</v>
      </c>
      <c r="B146" s="53" t="s">
        <v>176</v>
      </c>
      <c r="C146" s="54">
        <v>93608</v>
      </c>
    </row>
    <row r="147" spans="1:3" ht="21">
      <c r="A147" s="52">
        <v>117</v>
      </c>
      <c r="B147" s="52" t="s">
        <v>1634</v>
      </c>
      <c r="C147" s="54">
        <v>4738</v>
      </c>
    </row>
    <row r="148" spans="1:3" ht="21">
      <c r="A148" s="52">
        <v>96</v>
      </c>
      <c r="B148" s="53" t="s">
        <v>178</v>
      </c>
      <c r="C148" s="54">
        <v>10691</v>
      </c>
    </row>
    <row r="149" spans="1:3" ht="21">
      <c r="A149" s="52">
        <v>39</v>
      </c>
      <c r="B149" s="53" t="s">
        <v>179</v>
      </c>
      <c r="C149" s="54">
        <v>26976</v>
      </c>
    </row>
    <row r="150" spans="1:3" ht="21">
      <c r="A150" s="52">
        <v>71</v>
      </c>
      <c r="B150" s="53" t="s">
        <v>1635</v>
      </c>
      <c r="C150" s="54">
        <v>15968</v>
      </c>
    </row>
    <row r="151" spans="1:3" ht="21">
      <c r="A151" s="52">
        <v>11</v>
      </c>
      <c r="B151" s="53" t="s">
        <v>1403</v>
      </c>
      <c r="C151" s="54">
        <v>71470</v>
      </c>
    </row>
    <row r="152" spans="1:3" ht="21">
      <c r="A152" s="52">
        <v>29</v>
      </c>
      <c r="B152" s="53" t="s">
        <v>1404</v>
      </c>
      <c r="C152" s="54">
        <v>36152</v>
      </c>
    </row>
    <row r="153" spans="1:3" ht="21">
      <c r="A153" s="52">
        <v>57</v>
      </c>
      <c r="B153" s="53" t="s">
        <v>183</v>
      </c>
      <c r="C153" s="54">
        <v>20110</v>
      </c>
    </row>
    <row r="154" spans="1:3" ht="21">
      <c r="A154" s="52">
        <v>98</v>
      </c>
      <c r="B154" s="53" t="s">
        <v>1405</v>
      </c>
      <c r="C154" s="54">
        <v>10175</v>
      </c>
    </row>
    <row r="155" spans="1:3" ht="21">
      <c r="A155" s="52">
        <v>103</v>
      </c>
      <c r="B155" s="52" t="s">
        <v>1636</v>
      </c>
      <c r="C155" s="54">
        <v>8940</v>
      </c>
    </row>
    <row r="156" spans="1:3" ht="21">
      <c r="A156" s="52">
        <v>114</v>
      </c>
      <c r="B156" s="52" t="s">
        <v>187</v>
      </c>
      <c r="C156" s="54">
        <v>6660</v>
      </c>
    </row>
    <row r="157" spans="1:3" ht="21">
      <c r="A157" s="52">
        <v>7</v>
      </c>
      <c r="B157" s="53" t="s">
        <v>1455</v>
      </c>
      <c r="C157" s="54">
        <v>101001</v>
      </c>
    </row>
    <row r="158" spans="1:3" ht="21">
      <c r="A158" s="52">
        <v>91</v>
      </c>
      <c r="B158" s="53" t="s">
        <v>1637</v>
      </c>
      <c r="C158" s="54">
        <v>12195</v>
      </c>
    </row>
    <row r="159" spans="1:3" ht="21">
      <c r="A159" s="52">
        <v>110</v>
      </c>
      <c r="B159" s="52" t="s">
        <v>1638</v>
      </c>
      <c r="C159" s="54">
        <v>7461</v>
      </c>
    </row>
    <row r="160" spans="1:3" ht="21">
      <c r="A160" s="52">
        <v>79</v>
      </c>
      <c r="B160" s="53" t="s">
        <v>1639</v>
      </c>
      <c r="C160" s="54">
        <v>14187</v>
      </c>
    </row>
    <row r="161" spans="1:3" ht="21">
      <c r="A161" s="52">
        <v>2</v>
      </c>
      <c r="B161" s="53" t="s">
        <v>193</v>
      </c>
      <c r="C161" s="54">
        <v>322200</v>
      </c>
    </row>
    <row r="162" spans="1:3" ht="21">
      <c r="A162" s="52">
        <v>77</v>
      </c>
      <c r="B162" s="53" t="s">
        <v>1640</v>
      </c>
      <c r="C162" s="54">
        <v>14519</v>
      </c>
    </row>
    <row r="163" spans="1:3" ht="21">
      <c r="A163" s="52">
        <v>30</v>
      </c>
      <c r="B163" s="53" t="s">
        <v>403</v>
      </c>
      <c r="C163" s="54">
        <v>35931</v>
      </c>
    </row>
    <row r="164" spans="1:3" ht="21">
      <c r="A164" s="52">
        <v>19</v>
      </c>
      <c r="B164" s="53" t="s">
        <v>195</v>
      </c>
      <c r="C164" s="54">
        <v>50744</v>
      </c>
    </row>
    <row r="165" spans="1:3" ht="21">
      <c r="A165" s="52">
        <v>116</v>
      </c>
      <c r="B165" s="52" t="s">
        <v>1343</v>
      </c>
      <c r="C165" s="54">
        <v>6064</v>
      </c>
    </row>
    <row r="166" spans="1:3" ht="21">
      <c r="A166" s="52">
        <v>104</v>
      </c>
      <c r="B166" s="52" t="s">
        <v>1406</v>
      </c>
      <c r="C166" s="54">
        <v>8760</v>
      </c>
    </row>
    <row r="167" spans="1:3" ht="21">
      <c r="A167" s="52">
        <v>66</v>
      </c>
      <c r="B167" s="53" t="s">
        <v>1641</v>
      </c>
      <c r="C167" s="54">
        <v>17554</v>
      </c>
    </row>
    <row r="168" spans="1:3" ht="21">
      <c r="A168" s="52">
        <v>46</v>
      </c>
      <c r="B168" s="53" t="s">
        <v>278</v>
      </c>
      <c r="C168" s="54">
        <v>25107</v>
      </c>
    </row>
    <row r="169" spans="1:3" ht="21">
      <c r="A169" s="52">
        <v>27</v>
      </c>
      <c r="B169" s="53" t="s">
        <v>1642</v>
      </c>
      <c r="C169" s="54">
        <v>37125</v>
      </c>
    </row>
    <row r="170" spans="1:3" ht="21">
      <c r="A170" s="52">
        <v>42</v>
      </c>
      <c r="B170" s="53" t="s">
        <v>416</v>
      </c>
      <c r="C170" s="54">
        <v>26313</v>
      </c>
    </row>
    <row r="171" spans="1:3" ht="21">
      <c r="A171" s="52">
        <v>94</v>
      </c>
      <c r="B171" s="53" t="s">
        <v>1643</v>
      </c>
      <c r="C171" s="54">
        <v>11000</v>
      </c>
    </row>
    <row r="172" spans="1:3" ht="21">
      <c r="A172" s="52">
        <v>31</v>
      </c>
      <c r="B172" s="53" t="s">
        <v>1644</v>
      </c>
      <c r="C172" s="54">
        <v>35359</v>
      </c>
    </row>
    <row r="173" spans="1:3" ht="21">
      <c r="A173" s="52">
        <v>105</v>
      </c>
      <c r="B173" s="52" t="s">
        <v>203</v>
      </c>
      <c r="C173" s="54">
        <v>8748</v>
      </c>
    </row>
    <row r="174" spans="1:3" ht="21">
      <c r="A174" s="52">
        <v>6</v>
      </c>
      <c r="B174" s="53" t="s">
        <v>205</v>
      </c>
      <c r="C174" s="54">
        <v>109627</v>
      </c>
    </row>
    <row r="175" spans="1:3" ht="21">
      <c r="A175" s="52">
        <v>43</v>
      </c>
      <c r="B175" s="53" t="s">
        <v>1645</v>
      </c>
      <c r="C175" s="54">
        <v>26307</v>
      </c>
    </row>
    <row r="176" spans="1:3" ht="21">
      <c r="A176" s="52">
        <v>63</v>
      </c>
      <c r="B176" s="53" t="s">
        <v>424</v>
      </c>
      <c r="C176" s="54">
        <v>18763</v>
      </c>
    </row>
    <row r="177" spans="1:3" ht="21">
      <c r="A177" s="52">
        <v>62</v>
      </c>
      <c r="B177" s="53" t="s">
        <v>1351</v>
      </c>
      <c r="C177" s="54">
        <v>18833</v>
      </c>
    </row>
    <row r="178" spans="1:3" ht="21">
      <c r="A178" s="52">
        <v>23</v>
      </c>
      <c r="B178" s="53" t="s">
        <v>208</v>
      </c>
      <c r="C178" s="54">
        <v>45550</v>
      </c>
    </row>
    <row r="179" spans="1:3" ht="21">
      <c r="A179" s="52">
        <v>70</v>
      </c>
      <c r="B179" s="53" t="s">
        <v>209</v>
      </c>
      <c r="C179" s="54">
        <v>15999</v>
      </c>
    </row>
    <row r="180" spans="1:3" ht="21">
      <c r="A180" s="52">
        <v>118</v>
      </c>
      <c r="B180" s="52" t="s">
        <v>210</v>
      </c>
      <c r="C180" s="54">
        <v>4461</v>
      </c>
    </row>
    <row r="181" spans="1:3" ht="21">
      <c r="A181" s="52">
        <v>24</v>
      </c>
      <c r="B181" s="53" t="s">
        <v>433</v>
      </c>
      <c r="C181" s="54">
        <v>45044</v>
      </c>
    </row>
    <row r="182" spans="1:3" ht="21">
      <c r="A182" s="52">
        <v>80</v>
      </c>
      <c r="B182" s="53" t="s">
        <v>213</v>
      </c>
      <c r="C182" s="54">
        <v>13368</v>
      </c>
    </row>
    <row r="183" spans="1:3" ht="21">
      <c r="A183" s="52">
        <v>1</v>
      </c>
      <c r="B183" s="53" t="s">
        <v>214</v>
      </c>
      <c r="C183" s="54">
        <v>768419</v>
      </c>
    </row>
    <row r="184" spans="1:3" ht="21">
      <c r="A184" s="52">
        <v>18</v>
      </c>
      <c r="B184" s="53" t="s">
        <v>1646</v>
      </c>
      <c r="C184" s="54">
        <v>53476</v>
      </c>
    </row>
    <row r="185" spans="1:3" ht="21">
      <c r="A185" s="52">
        <v>51</v>
      </c>
      <c r="B185" s="53" t="s">
        <v>215</v>
      </c>
      <c r="C185" s="54">
        <v>22427</v>
      </c>
    </row>
    <row r="186" spans="1:3" ht="21">
      <c r="A186" s="52">
        <v>3</v>
      </c>
      <c r="B186" s="53" t="s">
        <v>1647</v>
      </c>
      <c r="C186" s="54">
        <v>166552</v>
      </c>
    </row>
    <row r="187" spans="1:3" ht="21">
      <c r="A187" s="52">
        <v>73</v>
      </c>
      <c r="B187" s="53" t="s">
        <v>1648</v>
      </c>
      <c r="C187" s="54">
        <v>15041</v>
      </c>
    </row>
    <row r="188" spans="1:3" ht="21">
      <c r="A188" s="52">
        <v>32</v>
      </c>
      <c r="B188" s="53" t="s">
        <v>216</v>
      </c>
      <c r="C188" s="54">
        <v>31288</v>
      </c>
    </row>
    <row r="189" spans="1:3" ht="21">
      <c r="A189" s="52">
        <v>78</v>
      </c>
      <c r="B189" s="53" t="s">
        <v>1649</v>
      </c>
      <c r="C189" s="54">
        <v>14269</v>
      </c>
    </row>
    <row r="190" spans="1:3" ht="21">
      <c r="A190" s="52">
        <v>15</v>
      </c>
      <c r="B190" s="53" t="s">
        <v>1650</v>
      </c>
      <c r="C190" s="54">
        <v>60631</v>
      </c>
    </row>
    <row r="191" spans="1:3" ht="21">
      <c r="A191" s="52">
        <v>72</v>
      </c>
      <c r="B191" s="53" t="s">
        <v>219</v>
      </c>
      <c r="C191" s="54">
        <v>15604</v>
      </c>
    </row>
    <row r="192" spans="1:3" ht="21">
      <c r="A192" s="52">
        <v>113</v>
      </c>
      <c r="B192" s="52" t="s">
        <v>459</v>
      </c>
      <c r="C192" s="54">
        <v>7088</v>
      </c>
    </row>
    <row r="193" spans="1:3" ht="21">
      <c r="A193" s="52">
        <v>99</v>
      </c>
      <c r="B193" s="53" t="s">
        <v>1651</v>
      </c>
      <c r="C193" s="54">
        <v>10081</v>
      </c>
    </row>
    <row r="194" spans="1:3" ht="21">
      <c r="A194" s="52">
        <v>52</v>
      </c>
      <c r="B194" s="53" t="s">
        <v>1652</v>
      </c>
      <c r="C194" s="54">
        <v>21936</v>
      </c>
    </row>
    <row r="195" spans="1:3" ht="21">
      <c r="A195" s="52">
        <v>81</v>
      </c>
      <c r="B195" s="53" t="s">
        <v>220</v>
      </c>
      <c r="C195" s="54">
        <v>13345</v>
      </c>
    </row>
    <row r="196" spans="1:3" ht="21">
      <c r="A196" s="52">
        <v>48</v>
      </c>
      <c r="B196" s="53" t="s">
        <v>221</v>
      </c>
      <c r="C196" s="54">
        <v>24493</v>
      </c>
    </row>
    <row r="197" spans="1:3" ht="21">
      <c r="A197" s="52">
        <v>102</v>
      </c>
      <c r="B197" s="52" t="s">
        <v>1407</v>
      </c>
      <c r="C197" s="54">
        <v>9172</v>
      </c>
    </row>
    <row r="198" spans="1:3" ht="21">
      <c r="A198" s="52">
        <v>38</v>
      </c>
      <c r="B198" s="53" t="s">
        <v>837</v>
      </c>
      <c r="C198" s="54">
        <v>27049</v>
      </c>
    </row>
    <row r="199" spans="1:3" ht="21">
      <c r="A199" s="52">
        <v>108</v>
      </c>
      <c r="B199" s="52" t="s">
        <v>1554</v>
      </c>
      <c r="C199" s="54">
        <v>8226</v>
      </c>
    </row>
    <row r="200" spans="1:3" ht="21">
      <c r="A200" s="52">
        <v>9</v>
      </c>
      <c r="B200" s="53" t="s">
        <v>226</v>
      </c>
      <c r="C200" s="54">
        <v>92090</v>
      </c>
    </row>
    <row r="201" spans="1:3" ht="21">
      <c r="A201" s="52">
        <v>88</v>
      </c>
      <c r="B201" s="53" t="s">
        <v>1655</v>
      </c>
      <c r="C201" s="54">
        <v>12346</v>
      </c>
    </row>
    <row r="202" spans="1:3" ht="21">
      <c r="A202" s="52">
        <v>60</v>
      </c>
      <c r="B202" s="53" t="s">
        <v>227</v>
      </c>
      <c r="C202" s="54">
        <v>19257</v>
      </c>
    </row>
    <row r="203" spans="1:3" ht="21">
      <c r="A203" s="52">
        <v>33</v>
      </c>
      <c r="B203" s="53" t="s">
        <v>228</v>
      </c>
      <c r="C203" s="54">
        <v>31225</v>
      </c>
    </row>
    <row r="204" spans="1:3" ht="21">
      <c r="A204" s="52">
        <v>93</v>
      </c>
      <c r="B204" s="53" t="s">
        <v>469</v>
      </c>
      <c r="C204" s="54">
        <v>11421</v>
      </c>
    </row>
    <row r="205" spans="1:3" ht="21">
      <c r="A205" s="52">
        <v>68</v>
      </c>
      <c r="B205" s="53" t="s">
        <v>470</v>
      </c>
      <c r="C205" s="54">
        <v>17122</v>
      </c>
    </row>
    <row r="206" spans="1:3" ht="21">
      <c r="A206" s="52">
        <v>13</v>
      </c>
      <c r="B206" s="53" t="s">
        <v>1653</v>
      </c>
      <c r="C206" s="54">
        <v>65485</v>
      </c>
    </row>
    <row r="207" spans="1:3" ht="21">
      <c r="A207" s="52">
        <v>67</v>
      </c>
      <c r="B207" s="53" t="s">
        <v>1654</v>
      </c>
      <c r="C207" s="54">
        <v>17333</v>
      </c>
    </row>
    <row r="208" spans="1:3" ht="21">
      <c r="A208" s="52">
        <v>101</v>
      </c>
      <c r="B208" s="52" t="s">
        <v>1408</v>
      </c>
      <c r="C208" s="54">
        <v>9202</v>
      </c>
    </row>
    <row r="209" spans="1:3" ht="21">
      <c r="A209" s="52">
        <v>36</v>
      </c>
      <c r="B209" s="53" t="s">
        <v>1656</v>
      </c>
      <c r="C209" s="54">
        <v>28379</v>
      </c>
    </row>
    <row r="210" spans="1:3" ht="21">
      <c r="A210" s="52">
        <v>115</v>
      </c>
      <c r="B210" s="52" t="s">
        <v>1657</v>
      </c>
      <c r="C210" s="54">
        <v>6463</v>
      </c>
    </row>
    <row r="211" spans="1:3" ht="21">
      <c r="A211" s="52">
        <v>53</v>
      </c>
      <c r="B211" s="53" t="s">
        <v>794</v>
      </c>
      <c r="C211" s="54">
        <v>21690</v>
      </c>
    </row>
    <row r="212" spans="1:3" ht="21">
      <c r="A212" s="52">
        <v>100</v>
      </c>
      <c r="B212" s="53" t="s">
        <v>1658</v>
      </c>
      <c r="C212" s="54">
        <v>10062</v>
      </c>
    </row>
    <row r="213" spans="1:3" ht="21">
      <c r="A213" s="52">
        <v>97</v>
      </c>
      <c r="B213" s="53" t="s">
        <v>231</v>
      </c>
      <c r="C213" s="54">
        <v>10616</v>
      </c>
    </row>
    <row r="214" spans="1:3" ht="21">
      <c r="A214" s="52">
        <v>37</v>
      </c>
      <c r="B214" s="53" t="s">
        <v>232</v>
      </c>
      <c r="C214" s="54">
        <v>28042</v>
      </c>
    </row>
    <row r="215" spans="1:3" ht="21">
      <c r="A215" s="52">
        <v>82</v>
      </c>
      <c r="B215" s="53" t="s">
        <v>234</v>
      </c>
      <c r="C215" s="54">
        <v>13270</v>
      </c>
    </row>
    <row r="216" spans="1:3" ht="21">
      <c r="A216" s="52">
        <v>34</v>
      </c>
      <c r="B216" s="53" t="s">
        <v>1659</v>
      </c>
      <c r="C216" s="54">
        <v>30815</v>
      </c>
    </row>
    <row r="217" spans="1:3" ht="21">
      <c r="A217" s="52">
        <v>22</v>
      </c>
      <c r="B217" s="53" t="s">
        <v>1660</v>
      </c>
      <c r="C217" s="54">
        <v>45915</v>
      </c>
    </row>
    <row r="218" spans="1:3" ht="21">
      <c r="A218" s="52">
        <v>111</v>
      </c>
      <c r="B218" s="52" t="s">
        <v>842</v>
      </c>
      <c r="C218" s="54">
        <v>7189</v>
      </c>
    </row>
    <row r="219" spans="1:3" ht="21">
      <c r="A219" s="52">
        <v>49</v>
      </c>
      <c r="B219" s="53" t="s">
        <v>843</v>
      </c>
      <c r="C219" s="54">
        <v>24081</v>
      </c>
    </row>
    <row r="220" spans="1:3" ht="21">
      <c r="A220" s="52">
        <v>12</v>
      </c>
      <c r="B220" s="53" t="s">
        <v>490</v>
      </c>
      <c r="C220" s="54">
        <v>66508</v>
      </c>
    </row>
    <row r="221" spans="1:3" ht="21">
      <c r="A221" s="52">
        <v>95</v>
      </c>
      <c r="B221" s="53" t="s">
        <v>1470</v>
      </c>
      <c r="C221" s="54">
        <v>10847</v>
      </c>
    </row>
    <row r="222" spans="1:3" ht="21">
      <c r="A222" s="52">
        <v>119</v>
      </c>
      <c r="B222" s="52" t="s">
        <v>1661</v>
      </c>
      <c r="C222" s="54">
        <v>4416</v>
      </c>
    </row>
    <row r="223" spans="1:3" ht="21">
      <c r="A223" s="52">
        <v>74</v>
      </c>
      <c r="B223" s="53" t="s">
        <v>844</v>
      </c>
      <c r="C223" s="54">
        <v>14587</v>
      </c>
    </row>
    <row r="224" spans="1:3" ht="21">
      <c r="A224" s="52">
        <v>44</v>
      </c>
      <c r="B224" s="53" t="s">
        <v>237</v>
      </c>
      <c r="C224" s="54">
        <v>26266</v>
      </c>
    </row>
    <row r="225" spans="1:3" ht="21">
      <c r="A225" s="52">
        <v>16</v>
      </c>
      <c r="B225" s="53" t="s">
        <v>945</v>
      </c>
      <c r="C225" s="54">
        <v>58595</v>
      </c>
    </row>
    <row r="226" spans="1:3" ht="21">
      <c r="A226" s="52">
        <v>90</v>
      </c>
      <c r="B226" s="53" t="s">
        <v>1662</v>
      </c>
      <c r="C226" s="54">
        <v>12283</v>
      </c>
    </row>
    <row r="227" spans="1:3" ht="21">
      <c r="A227" s="52">
        <v>14</v>
      </c>
      <c r="B227" s="53" t="s">
        <v>1370</v>
      </c>
      <c r="C227" s="54">
        <v>64789</v>
      </c>
    </row>
    <row r="228" spans="1:3" ht="21">
      <c r="A228" s="52">
        <v>120</v>
      </c>
      <c r="B228" s="52" t="s">
        <v>243</v>
      </c>
      <c r="C228" s="54">
        <v>2139</v>
      </c>
    </row>
    <row r="229" spans="1:3" ht="21">
      <c r="A229" s="52">
        <v>69</v>
      </c>
      <c r="B229" s="53" t="s">
        <v>1663</v>
      </c>
      <c r="C229" s="54">
        <v>16795</v>
      </c>
    </row>
    <row r="230" spans="1:3" ht="21">
      <c r="A230" s="52">
        <v>47</v>
      </c>
      <c r="B230" s="53" t="s">
        <v>1664</v>
      </c>
      <c r="C230" s="54">
        <v>24534</v>
      </c>
    </row>
    <row r="231" spans="1:3" ht="21">
      <c r="A231" s="52">
        <v>65</v>
      </c>
      <c r="B231" s="53" t="s">
        <v>946</v>
      </c>
      <c r="C231" s="54">
        <v>17846</v>
      </c>
    </row>
    <row r="232" spans="1:3" ht="21">
      <c r="A232" s="52">
        <v>17</v>
      </c>
      <c r="B232" s="53" t="s">
        <v>245</v>
      </c>
      <c r="C232" s="54">
        <v>55961</v>
      </c>
    </row>
    <row r="233" spans="1:3" ht="21">
      <c r="A233" s="52">
        <v>20</v>
      </c>
      <c r="B233" s="53" t="s">
        <v>264</v>
      </c>
      <c r="C233" s="54">
        <v>48100</v>
      </c>
    </row>
    <row r="234" spans="1:3" ht="21">
      <c r="A234" s="52">
        <v>64</v>
      </c>
      <c r="B234" s="53" t="s">
        <v>1665</v>
      </c>
      <c r="C234" s="54">
        <v>18319</v>
      </c>
    </row>
    <row r="235" spans="1:3" ht="21">
      <c r="A235" s="52">
        <v>61</v>
      </c>
      <c r="B235" s="53" t="s">
        <v>1477</v>
      </c>
      <c r="C235" s="54">
        <v>18945</v>
      </c>
    </row>
    <row r="236" spans="1:3" ht="21">
      <c r="A236" s="52">
        <v>45</v>
      </c>
      <c r="B236" s="53" t="s">
        <v>526</v>
      </c>
      <c r="C236" s="54">
        <v>25572</v>
      </c>
    </row>
    <row r="237" spans="1:3" ht="21">
      <c r="A237" s="52">
        <v>89</v>
      </c>
      <c r="B237" s="53" t="s">
        <v>1666</v>
      </c>
      <c r="C237" s="54">
        <v>12334</v>
      </c>
    </row>
    <row r="238" spans="1:3" ht="21">
      <c r="A238" s="52">
        <v>76</v>
      </c>
      <c r="B238" s="53" t="s">
        <v>1667</v>
      </c>
      <c r="C238" s="54">
        <v>14569</v>
      </c>
    </row>
    <row r="239" spans="1:3" ht="21">
      <c r="A239" s="52">
        <v>106</v>
      </c>
      <c r="B239" s="52" t="s">
        <v>1668</v>
      </c>
      <c r="C239" s="54">
        <v>8528</v>
      </c>
    </row>
    <row r="240" spans="1:3" ht="21">
      <c r="A240" s="52">
        <v>75</v>
      </c>
      <c r="B240" s="53" t="s">
        <v>255</v>
      </c>
      <c r="C240" s="54">
        <v>14582</v>
      </c>
    </row>
    <row r="241" spans="1:3" ht="21">
      <c r="A241" s="52">
        <v>5</v>
      </c>
      <c r="B241" s="53" t="s">
        <v>257</v>
      </c>
      <c r="C241" s="54">
        <v>130836</v>
      </c>
    </row>
    <row r="242" spans="1:3" ht="21">
      <c r="A242" s="52">
        <v>92</v>
      </c>
      <c r="B242" s="53" t="s">
        <v>258</v>
      </c>
      <c r="C242" s="54">
        <v>12044</v>
      </c>
    </row>
    <row r="243" spans="1:3" ht="21">
      <c r="A243" s="52">
        <v>55</v>
      </c>
      <c r="B243" s="53" t="s">
        <v>259</v>
      </c>
      <c r="C243" s="54">
        <v>20447</v>
      </c>
    </row>
    <row r="244" spans="1:3" ht="21">
      <c r="A244" s="52">
        <v>83</v>
      </c>
      <c r="B244" s="53" t="s">
        <v>853</v>
      </c>
      <c r="C244" s="54">
        <v>13021</v>
      </c>
    </row>
    <row r="245" spans="1:3" ht="21">
      <c r="A245" s="52">
        <v>28</v>
      </c>
      <c r="B245" s="53" t="s">
        <v>1487</v>
      </c>
      <c r="C245" s="54">
        <v>36252</v>
      </c>
    </row>
    <row r="246" spans="1:3" ht="21">
      <c r="A246" s="52">
        <v>112</v>
      </c>
      <c r="B246" s="52" t="s">
        <v>1669</v>
      </c>
      <c r="C246" s="54">
        <v>7188</v>
      </c>
    </row>
    <row r="247" spans="1:3" ht="21">
      <c r="A247" s="52">
        <v>40</v>
      </c>
      <c r="B247" s="53" t="s">
        <v>1414</v>
      </c>
      <c r="C247" s="54">
        <v>26486</v>
      </c>
    </row>
    <row r="248" spans="1:3" ht="21">
      <c r="A248" s="52" t="s">
        <v>1673</v>
      </c>
      <c r="B248" s="52"/>
      <c r="C248" s="54"/>
    </row>
  </sheetData>
  <hyperlinks>
    <hyperlink ref="B183" r:id="rId1" display="https://www.kentucky-demographics.com/jefferson-county-demographics" xr:uid="{D04749F5-6036-5F49-B509-978A656D35F5}"/>
    <hyperlink ref="B161" r:id="rId2" display="https://www.kentucky-demographics.com/fayette-county-demographics" xr:uid="{1E85E59E-ABE2-2947-A380-7117D5CCAC04}"/>
    <hyperlink ref="B186" r:id="rId3" display="https://www.kentucky-demographics.com/kenton-county-demographics" xr:uid="{AD70B6AB-4D77-FA49-8468-7C838F78CF8C}"/>
    <hyperlink ref="B135" r:id="rId4" display="https://www.kentucky-demographics.com/boone-county-demographics" xr:uid="{7BE41B40-96B7-0D43-9383-9F74A9E6AF0B}"/>
    <hyperlink ref="B241" r:id="rId5" display="https://www.kentucky-demographics.com/warren-county-demographics" xr:uid="{B8008CE1-5667-EA48-8282-2E02C43661A9}"/>
    <hyperlink ref="B174" r:id="rId6" display="https://www.kentucky-demographics.com/hardin-county-demographics" xr:uid="{D1F679BC-6806-1742-8F70-6E5A6FD027F1}"/>
    <hyperlink ref="B157" r:id="rId7" display="https://www.kentucky-demographics.com/daviess-county-demographics" xr:uid="{F36CA382-D93D-3542-8567-6C0606DF37A3}"/>
    <hyperlink ref="B146" r:id="rId8" display="https://www.kentucky-demographics.com/campbell-county-demographics" xr:uid="{81DCDF80-CEEB-6A4D-8FD3-9F59DD2D986B}"/>
    <hyperlink ref="B200" r:id="rId9" display="https://www.kentucky-demographics.com/madison-county-demographics" xr:uid="{DC423A6A-A758-1D4E-91CE-139A64ABA7D5}"/>
    <hyperlink ref="B142" r:id="rId10" display="https://www.kentucky-demographics.com/bullitt-county-demographics" xr:uid="{5804D88B-0BA8-764C-B505-E30AE899ED1E}"/>
    <hyperlink ref="B151" r:id="rId11" display="https://www.kentucky-demographics.com/christian-county-demographics" xr:uid="{8E288E18-F738-3244-9293-C26EA4EE8A27}"/>
    <hyperlink ref="B220" r:id="rId12" display="https://www.kentucky-demographics.com/oldham-county-demographics" xr:uid="{4EB48E52-6CBC-E04F-841A-BE8DCE007BEC}"/>
    <hyperlink ref="B206" r:id="rId13" display="https://www.kentucky-demographics.com/mccracken-county-demographics" xr:uid="{8845A1CE-0AA2-8346-AA24-0E4A65309392}"/>
    <hyperlink ref="B227" r:id="rId14" display="https://www.kentucky-demographics.com/pulaski-county-demographics" xr:uid="{A639AF1C-B8EB-1842-A4B4-CE175A50B6EE}"/>
    <hyperlink ref="B190" r:id="rId15" display="https://www.kentucky-demographics.com/laurel-county-demographics" xr:uid="{19D102D4-F37A-B342-B775-4CA9F122A72A}"/>
    <hyperlink ref="B225" r:id="rId16" display="https://www.kentucky-demographics.com/pike-county-demographics" xr:uid="{525E22CA-5A01-354E-96E6-9A3ECE20BC7F}"/>
    <hyperlink ref="B232" r:id="rId17" display="https://www.kentucky-demographics.com/scott-county-demographics" xr:uid="{C6502698-92B8-D44A-B352-BB73D28DA782}"/>
    <hyperlink ref="B184" r:id="rId18" display="https://www.kentucky-demographics.com/jessamine-county-demographics" xr:uid="{BE3D6DE5-0500-FA4A-8DA6-D5D1BD1A61C8}"/>
    <hyperlink ref="B164" r:id="rId19" display="https://www.kentucky-demographics.com/franklin-county-demographics" xr:uid="{3F962A61-4DF7-9747-8DED-03531483A18D}"/>
    <hyperlink ref="B233" r:id="rId20" display="https://www.kentucky-demographics.com/shelby-county-demographics" xr:uid="{1230B4F3-D0D4-6043-BE83-151FBA2FE6B7}"/>
    <hyperlink ref="B137" r:id="rId21" display="https://www.kentucky-demographics.com/boyd-county-demographics" xr:uid="{F1261F10-2C8D-BD4F-A2C5-F590A6C3F277}"/>
    <hyperlink ref="B217" r:id="rId22" display="https://www.kentucky-demographics.com/nelson-county-demographics" xr:uid="{C957636B-399D-1E4B-8290-7671638E4420}"/>
    <hyperlink ref="B178" r:id="rId23" display="https://www.kentucky-demographics.com/henderson-county-demographics" xr:uid="{DAFE0280-B509-0341-B7A0-0A0C07C32CFF}"/>
    <hyperlink ref="B181" r:id="rId24" display="https://www.kentucky-demographics.com/hopkins-county-demographics" xr:uid="{223F14BD-FA17-5B4D-8CC1-95907830E53F}"/>
    <hyperlink ref="B132" r:id="rId25" display="https://www.kentucky-demographics.com/barren-county-demographics" xr:uid="{B6A62A38-CC1B-A54B-821F-DBBE31DFB698}"/>
    <hyperlink ref="B145" r:id="rId26" display="https://www.kentucky-demographics.com/calloway-county-demographics" xr:uid="{B0C93F15-DEEA-E146-9028-26D2920169BE}"/>
    <hyperlink ref="B169" r:id="rId27" display="https://www.kentucky-demographics.com/graves-county-demographics" xr:uid="{FE3272A1-B978-1F48-9151-8A84FD242F2F}"/>
    <hyperlink ref="B245" r:id="rId28" display="https://www.kentucky-demographics.com/whitley-county-demographics" xr:uid="{A66172BC-0063-0145-9D29-D952022BC837}"/>
    <hyperlink ref="B152" r:id="rId29" display="https://www.kentucky-demographics.com/clark-county-demographics" xr:uid="{EBAE73EF-66B2-8E4E-AEFB-7C80175FAA17}"/>
    <hyperlink ref="B163" r:id="rId30" display="https://www.kentucky-demographics.com/floyd-county-demographics" xr:uid="{35F0CA2C-D143-1A48-9035-77D4178E99CF}"/>
    <hyperlink ref="B172" r:id="rId31" display="https://www.kentucky-demographics.com/greenup-county-demographics" xr:uid="{BAC4F217-33B9-DC45-8B3E-3164FA007FBC}"/>
    <hyperlink ref="B188" r:id="rId32" display="https://www.kentucky-demographics.com/knox-county-demographics" xr:uid="{8DCEAE32-5643-7144-82E9-2C684DB1A9EE}"/>
    <hyperlink ref="B203" r:id="rId33" display="https://www.kentucky-demographics.com/marshall-county-demographics" xr:uid="{7504B37E-C668-9B4E-B3A0-E2057B507F91}"/>
    <hyperlink ref="B216" r:id="rId34" display="https://www.kentucky-demographics.com/muhlenberg-county-demographics" xr:uid="{A54E9DA1-7DCB-0644-B34F-C1BB626133C4}"/>
    <hyperlink ref="B138" r:id="rId35" display="https://www.kentucky-demographics.com/boyle-county-demographics" xr:uid="{A4174A1E-2C23-BD42-AB98-C510BBFD8373}"/>
    <hyperlink ref="B209" r:id="rId36" display="https://www.kentucky-demographics.com/meade-county-demographics" xr:uid="{17A2839D-396B-9347-BD89-234DC74DA6D2}"/>
    <hyperlink ref="B214" r:id="rId37" display="https://www.kentucky-demographics.com/montgomery-county-demographics" xr:uid="{EF98104C-3DD3-7840-B8A2-D23BD113E702}"/>
    <hyperlink ref="B198" r:id="rId38" display="https://www.kentucky-demographics.com/logan-county-demographics" xr:uid="{5E20665E-8695-3E41-B93D-778ABD745363}"/>
    <hyperlink ref="B149" r:id="rId39" display="https://www.kentucky-demographics.com/carter-county-demographics" xr:uid="{AB0C8433-797D-1F4B-934F-81D50DFDB8E8}"/>
    <hyperlink ref="B247" r:id="rId40" display="https://www.kentucky-demographics.com/woodford-county-demographics" xr:uid="{862D8733-44F0-E942-8230-FC7D8AF48370}"/>
    <hyperlink ref="B134" r:id="rId41" display="https://www.kentucky-demographics.com/bell-county-demographics" xr:uid="{3AE72358-605C-9B47-90B9-CC61B7038C52}"/>
    <hyperlink ref="B170" r:id="rId42" display="https://www.kentucky-demographics.com/grayson-county-demographics" xr:uid="{A18DD224-0499-E148-86EE-F8BE54A47CA9}"/>
    <hyperlink ref="B175" r:id="rId43" display="https://www.kentucky-demographics.com/harlan-county-demographics" xr:uid="{4D501E5B-5105-F24A-B761-FEAD736E3F00}"/>
    <hyperlink ref="B224" r:id="rId44" display="https://www.kentucky-demographics.com/perry-county-demographics" xr:uid="{743B9710-214D-E146-8FE3-C1133E2A23C2}"/>
    <hyperlink ref="B236" r:id="rId45" display="https://www.kentucky-demographics.com/taylor-county-demographics" xr:uid="{E2F4559C-B2A1-BE4B-8062-57C18BE7A603}"/>
    <hyperlink ref="B168" r:id="rId46" display="https://www.kentucky-demographics.com/grant-county-demographics" xr:uid="{2CA7D323-17A0-3043-A0A2-86187911D9C9}"/>
    <hyperlink ref="B230" r:id="rId47" display="https://www.kentucky-demographics.com/rowan-county-demographics" xr:uid="{DF64DE25-94F6-8042-ABEE-002A9F78BD09}"/>
    <hyperlink ref="B196" r:id="rId48" display="https://www.kentucky-demographics.com/lincoln-county-demographics" xr:uid="{0035C921-CDD8-7F42-AF36-0DD7AC7B4E03}"/>
    <hyperlink ref="B219" r:id="rId49" display="https://www.kentucky-demographics.com/ohio-county-demographics" xr:uid="{30B12174-E50D-154A-8547-F8CECE18E8C9}"/>
    <hyperlink ref="B130" r:id="rId50" display="https://www.kentucky-demographics.com/anderson-county-demographics" xr:uid="{2DEFD8A5-F2F9-A041-A94A-0CACF7702D21}"/>
    <hyperlink ref="B185" r:id="rId51" display="https://www.kentucky-demographics.com/johnson-county-demographics" xr:uid="{99D37061-92C9-5442-AF1F-038E9D92B953}"/>
    <hyperlink ref="B194" r:id="rId52" display="https://www.kentucky-demographics.com/letcher-county-demographics" xr:uid="{34137FDD-4635-1E44-BD04-6743E224C6B0}"/>
    <hyperlink ref="B211" r:id="rId53" display="https://www.kentucky-demographics.com/mercer-county-demographics" xr:uid="{247F3EDD-94C2-C04F-BC76-83B45CB6B291}"/>
    <hyperlink ref="B129" r:id="rId54" display="https://www.kentucky-demographics.com/allen-county-demographics" xr:uid="{B3401EC7-90D1-164B-95D4-1DE8DDB19FDC}"/>
    <hyperlink ref="B243" r:id="rId55" display="https://www.kentucky-demographics.com/wayne-county-demographics" xr:uid="{B12F3EA1-8228-4E4A-9FD4-E8F5A8744DD6}"/>
    <hyperlink ref="B141" r:id="rId56" display="https://www.kentucky-demographics.com/breckinridge-county-demographics" xr:uid="{C246A571-C12A-FA46-BCA6-7EE3C4E1EE27}"/>
    <hyperlink ref="B153" r:id="rId57" display="https://www.kentucky-demographics.com/clay-county-demographics" xr:uid="{DF402DF0-835A-1D42-B34A-DF5D51EF9B2A}"/>
    <hyperlink ref="B136" r:id="rId58" display="https://www.kentucky-demographics.com/bourbon-county-demographics" xr:uid="{2DA9E5EC-ABF7-BE46-8633-E736D1F22C6C}"/>
    <hyperlink ref="B128" r:id="rId59" display="https://www.kentucky-demographics.com/adair-county-demographics" xr:uid="{7A2EB556-307D-0B48-A97E-AD4B74ADC70E}"/>
    <hyperlink ref="B202" r:id="rId60" display="https://www.kentucky-demographics.com/marion-county-demographics" xr:uid="{2E6EBF9A-A397-364F-AEAC-47E7D45D7FA4}"/>
    <hyperlink ref="B235" r:id="rId61" display="https://www.kentucky-demographics.com/spencer-county-demographics" xr:uid="{F329B028-C9A1-384A-B10C-416E22CD5859}"/>
    <hyperlink ref="B177" r:id="rId62" display="https://www.kentucky-demographics.com/hart-county-demographics" xr:uid="{D8EB2DCF-815E-5643-99C2-37BB706D532F}"/>
    <hyperlink ref="B176" r:id="rId63" display="https://www.kentucky-demographics.com/harrison-county-demographics" xr:uid="{C6A715A9-3325-174C-89B5-1AC1C4DFB429}"/>
    <hyperlink ref="B234" r:id="rId64" display="https://www.kentucky-demographics.com/simpson-county-demographics" xr:uid="{93B88318-89DE-DE41-883C-6FE9E60AEA96}"/>
    <hyperlink ref="B231" r:id="rId65" display="https://www.kentucky-demographics.com/russell-county-demographics" xr:uid="{E90C6668-67B7-384B-B2B2-7B3A680A26D9}"/>
    <hyperlink ref="B167" r:id="rId66" display="https://www.kentucky-demographics.com/garrard-county-demographics" xr:uid="{4E839067-328C-A741-97D3-9F2C1E06AB4F}"/>
    <hyperlink ref="B207" r:id="rId67" display="https://www.kentucky-demographics.com/mccreary-county-demographics" xr:uid="{0959CE38-6BF0-9F47-91DE-831F7BE23C5B}"/>
    <hyperlink ref="B205" r:id="rId68" display="https://www.kentucky-demographics.com/mason-county-demographics" xr:uid="{65891D1B-3233-F44C-9DD2-099B5EB2F434}"/>
    <hyperlink ref="B229" r:id="rId69" display="https://www.kentucky-demographics.com/rockcastle-county-demographics" xr:uid="{5161F959-6AC2-3245-91CE-A52DD8D53741}"/>
    <hyperlink ref="B179" r:id="rId70" display="https://www.kentucky-demographics.com/henry-county-demographics" xr:uid="{4CCB3032-ABAD-844C-A838-D774088F089D}"/>
    <hyperlink ref="B150" r:id="rId71" display="https://www.kentucky-demographics.com/casey-county-demographics" xr:uid="{315A7D54-FE94-5A42-88CF-0FDB72A5A1CB}"/>
    <hyperlink ref="B191" r:id="rId72" display="https://www.kentucky-demographics.com/lawrence-county-demographics" xr:uid="{E9F2C5B4-5ADC-6B4B-A7A9-C931BEE836F1}"/>
    <hyperlink ref="B187" r:id="rId73" display="https://www.kentucky-demographics.com/knott-county-demographics" xr:uid="{D95C6885-DB37-4B43-8A6D-4D12EFF50578}"/>
    <hyperlink ref="B223" r:id="rId74" display="https://www.kentucky-demographics.com/pendleton-county-demographics" xr:uid="{C1BC52B8-F9B0-C94E-9602-CC4C2075231D}"/>
    <hyperlink ref="B240" r:id="rId75" display="https://www.kentucky-demographics.com/union-county-demographics" xr:uid="{E7586D19-98EB-0943-8FCB-B68BC02CE89B}"/>
    <hyperlink ref="B238" r:id="rId76" display="https://www.kentucky-demographics.com/trigg-county-demographics" xr:uid="{71C17E4B-49B1-C34A-9D5E-A12ADD97E132}"/>
    <hyperlink ref="B162" r:id="rId77" display="https://www.kentucky-demographics.com/fleming-county-demographics" xr:uid="{C02F5CE9-30BF-3642-8483-23F8D61B6E98}"/>
    <hyperlink ref="B189" r:id="rId78" display="https://www.kentucky-demographics.com/larue-county-demographics" xr:uid="{578F6CD9-D56B-F441-9D59-FBB7A5408241}"/>
    <hyperlink ref="B160" r:id="rId79" display="https://www.kentucky-demographics.com/estill-county-demographics" xr:uid="{61C57DB6-EC0D-3A46-AD1A-59A7A97B5BF0}"/>
    <hyperlink ref="B182" r:id="rId80" display="https://www.kentucky-demographics.com/jackson-county-demographics" xr:uid="{AD9A5572-23EC-324A-AF11-19AAEDE53E77}"/>
    <hyperlink ref="B195" r:id="rId81" display="https://www.kentucky-demographics.com/lewis-county-demographics" xr:uid="{A1CE5627-ED86-0246-A39B-353CFD5F7740}"/>
    <hyperlink ref="B215" r:id="rId82" display="https://www.kentucky-demographics.com/morgan-county-demographics" xr:uid="{FAE3B8DE-5A62-7940-B799-7F1266D45ACD}"/>
    <hyperlink ref="B244" r:id="rId83" display="https://www.kentucky-demographics.com/webster-county-demographics" xr:uid="{4F1BA9F3-0C38-9146-A8DB-2B7EC67211EE}"/>
    <hyperlink ref="B140" r:id="rId84" display="https://www.kentucky-demographics.com/breathitt-county-demographics" xr:uid="{C9DA76B7-63D2-E141-9FD6-BCEDA229C71A}"/>
    <hyperlink ref="B143" r:id="rId85" display="https://www.kentucky-demographics.com/butler-county-demographics" xr:uid="{3969C80B-A8FB-EF49-BECA-DEE6C794CFC8}"/>
    <hyperlink ref="B144" r:id="rId86" display="https://www.kentucky-demographics.com/caldwell-county-demographics" xr:uid="{7A5E3B4E-E355-4D45-B189-EA24966D6CD8}"/>
    <hyperlink ref="B133" r:id="rId87" display="https://www.kentucky-demographics.com/bath-county-demographics" xr:uid="{0BD310A1-1379-994F-A47F-F75A9B3B8750}"/>
    <hyperlink ref="B201" r:id="rId88" display="https://www.kentucky-demographics.com/magoffin-county-demographics" xr:uid="{A09FC388-1605-0A4B-B730-61DE7662EC19}"/>
    <hyperlink ref="B237" r:id="rId89" display="https://www.kentucky-demographics.com/todd-county-demographics" xr:uid="{19063C91-05D4-8A44-AE22-3C015D9E9973}"/>
    <hyperlink ref="B226" r:id="rId90" display="https://www.kentucky-demographics.com/powell-county-demographics" xr:uid="{8008B058-D9F3-9641-BF45-65D9C58B298C}"/>
    <hyperlink ref="B158" r:id="rId91" display="https://www.kentucky-demographics.com/edmonson-county-demographics" xr:uid="{96C226CD-9733-644A-950E-2C51E2EB1E06}"/>
    <hyperlink ref="B242" r:id="rId92" display="https://www.kentucky-demographics.com/washington-county-demographics" xr:uid="{5A67BF17-1A72-604E-9525-3E6CCDA1B0E7}"/>
    <hyperlink ref="B204" r:id="rId93" display="https://www.kentucky-demographics.com/martin-county-demographics" xr:uid="{A335BAB0-D45B-4C4E-87AC-C9FEC7BE3976}"/>
    <hyperlink ref="B171" r:id="rId94" display="https://www.kentucky-demographics.com/green-county-demographics" xr:uid="{DBA7AAF5-6724-0642-9B8B-5092C1553DBA}"/>
    <hyperlink ref="B221" r:id="rId95" display="https://www.kentucky-demographics.com/owen-county-demographics" xr:uid="{AA3851AC-9640-A84A-B224-270A618E585C}"/>
    <hyperlink ref="B148" r:id="rId96" display="https://www.kentucky-demographics.com/carroll-county-demographics" xr:uid="{1C5D4120-0262-8F4C-9CB8-7D751F46A0F4}"/>
    <hyperlink ref="B213" r:id="rId97" display="https://www.kentucky-demographics.com/monroe-county-demographics" xr:uid="{AF619E11-34BE-584B-9168-E329283D7F71}"/>
    <hyperlink ref="B154" r:id="rId98" display="https://www.kentucky-demographics.com/clinton-county-demographics" xr:uid="{97E18028-A1A8-4B4B-90C8-38C009797791}"/>
    <hyperlink ref="B193" r:id="rId99" display="https://www.kentucky-demographics.com/leslie-county-demographics" xr:uid="{A0E314CF-677B-1042-977F-10A82FAB7A87}"/>
    <hyperlink ref="B212" r:id="rId100" display="https://www.kentucky-demographics.com/metcalfe-county-demographics" xr:uid="{F8BD8C56-B9BB-F242-84DB-286FFD5E7C37}"/>
  </hyperlinks>
  <pageMargins left="0.7" right="0.7" top="0.75" bottom="0.75" header="0.3" footer="0.3"/>
  <tableParts count="3">
    <tablePart r:id="rId101"/>
    <tablePart r:id="rId102"/>
    <tablePart r:id="rId10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B517-2341-8D49-AEC7-959829B2917A}">
  <dimension ref="A1:R195"/>
  <sheetViews>
    <sheetView topLeftCell="E1" workbookViewId="0">
      <selection activeCell="Q2" sqref="Q2:Q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5" max="5" width="21.33203125" style="28" bestFit="1" customWidth="1"/>
    <col min="6" max="6" width="21.33203125" style="28" customWidth="1"/>
    <col min="8" max="8" width="26.33203125" bestFit="1" customWidth="1"/>
    <col min="9" max="9" width="16.5" bestFit="1" customWidth="1"/>
    <col min="10" max="10" width="13.5" style="21" bestFit="1" customWidth="1"/>
    <col min="11" max="11" width="15.1640625" bestFit="1" customWidth="1"/>
    <col min="12" max="12" width="12.5" style="21" bestFit="1" customWidth="1"/>
    <col min="13" max="13" width="15.6640625" customWidth="1"/>
    <col min="14" max="15" width="10.83203125" style="1"/>
    <col min="16" max="16" width="20.1640625" style="1" bestFit="1" customWidth="1"/>
  </cols>
  <sheetData>
    <row r="1" spans="1:18" ht="32">
      <c r="A1" s="22" t="s">
        <v>63</v>
      </c>
      <c r="B1" s="22" t="s">
        <v>64</v>
      </c>
      <c r="C1" s="22" t="s">
        <v>65</v>
      </c>
      <c r="D1" s="22" t="s">
        <v>66</v>
      </c>
      <c r="E1" s="36" t="s">
        <v>327</v>
      </c>
      <c r="F1" s="43" t="s">
        <v>324</v>
      </c>
      <c r="H1" s="11" t="s">
        <v>165</v>
      </c>
      <c r="I1" s="11" t="s">
        <v>166</v>
      </c>
      <c r="J1" s="20" t="s">
        <v>1677</v>
      </c>
      <c r="K1" s="11" t="s">
        <v>168</v>
      </c>
      <c r="L1" s="20" t="s">
        <v>1687</v>
      </c>
      <c r="M1" s="30" t="s">
        <v>821</v>
      </c>
      <c r="N1" s="11" t="s">
        <v>62</v>
      </c>
      <c r="Q1" t="s">
        <v>267</v>
      </c>
      <c r="R1" t="s">
        <v>329</v>
      </c>
    </row>
    <row r="2" spans="1:18" ht="15">
      <c r="A2" s="11" t="s">
        <v>69</v>
      </c>
      <c r="B2" s="12" t="s">
        <v>70</v>
      </c>
      <c r="C2" s="11" t="s">
        <v>1</v>
      </c>
      <c r="D2" s="11" t="s">
        <v>71</v>
      </c>
      <c r="E2" s="25">
        <v>6.0690000000000001E-2</v>
      </c>
      <c r="F2" s="40">
        <f>Table3[[#This Row],[Perc. Abused
(Same-Age Population)]]/(MAX(E:E)-MIN(E:E))</f>
        <v>0.85011906429471906</v>
      </c>
      <c r="H2" s="11" t="s">
        <v>170</v>
      </c>
      <c r="I2" s="11">
        <v>23184</v>
      </c>
      <c r="J2" s="20">
        <f>Table2[[#This Row],[TRUMP VOTES]]/C101</f>
        <v>0.30300733208735769</v>
      </c>
      <c r="K2" s="11">
        <v>11741</v>
      </c>
      <c r="L2" s="20">
        <f>Table2[[#This Row],[BIDEN VOTES]]/C101</f>
        <v>0.15345104753440592</v>
      </c>
      <c r="M2" s="40">
        <f>Table2[[#This Row],[BIDEN VOTES]]/(MAX(K:K)-MIN(K:K))</f>
        <v>4.7777556227440864E-2</v>
      </c>
      <c r="N2" s="40">
        <f>1-(Table2[[#This Row],[NbP]]+Table2[[#This Row],[NbP2]])</f>
        <v>0.54354162037823639</v>
      </c>
      <c r="P2" s="81" t="s">
        <v>1671</v>
      </c>
      <c r="Q2" s="87">
        <f>CORREL(F:F,J:J)</f>
        <v>0.20123841227835707</v>
      </c>
      <c r="R2" s="81">
        <v>0.1</v>
      </c>
    </row>
    <row r="3" spans="1:18" ht="15">
      <c r="A3" s="13" t="s">
        <v>69</v>
      </c>
      <c r="B3" s="14" t="s">
        <v>72</v>
      </c>
      <c r="C3" s="13" t="s">
        <v>1</v>
      </c>
      <c r="D3" s="13" t="s">
        <v>71</v>
      </c>
      <c r="E3" s="26">
        <v>4.8770000000000001E-2</v>
      </c>
      <c r="F3" s="41">
        <f>Table3[[#This Row],[Perc. Abused
(Same-Age Population)]]/(MAX(E:E)-MIN(E:E))</f>
        <v>0.68314890040621934</v>
      </c>
      <c r="H3" s="11" t="s">
        <v>171</v>
      </c>
      <c r="I3" s="11">
        <v>14354</v>
      </c>
      <c r="J3" s="20">
        <f>Table2[[#This Row],[TRUMP VOTES]]/C102</f>
        <v>0.29331589594785135</v>
      </c>
      <c r="K3" s="11">
        <v>4453</v>
      </c>
      <c r="L3" s="20">
        <f>Table2[[#This Row],[BIDEN VOTES]]/C102</f>
        <v>9.0994544005558162E-2</v>
      </c>
      <c r="M3" s="40">
        <f>Table2[[#This Row],[BIDEN VOTES]]/(MAX(K:K)-MIN(K:K))</f>
        <v>1.8120556841903942E-2</v>
      </c>
      <c r="N3" s="40">
        <f>1-(Table2[[#This Row],[NbP]]+Table2[[#This Row],[NbP2]])</f>
        <v>0.61568956004659048</v>
      </c>
      <c r="P3" s="81" t="s">
        <v>1672</v>
      </c>
      <c r="Q3" s="87">
        <f>CORREL(F:F,L:L)</f>
        <v>-0.57558006042936871</v>
      </c>
      <c r="R3" s="81">
        <v>0.01</v>
      </c>
    </row>
    <row r="4" spans="1:18" ht="15">
      <c r="A4" s="11" t="s">
        <v>69</v>
      </c>
      <c r="B4" s="12" t="s">
        <v>73</v>
      </c>
      <c r="C4" s="11" t="s">
        <v>1</v>
      </c>
      <c r="D4" s="11" t="s">
        <v>71</v>
      </c>
      <c r="E4" s="25">
        <v>5.5640000000000002E-2</v>
      </c>
      <c r="F4" s="41">
        <f>Table3[[#This Row],[Perc. Abused
(Same-Age Population)]]/(MAX(E:E)-MIN(E:E))</f>
        <v>0.77938086566746034</v>
      </c>
      <c r="H4" s="11" t="s">
        <v>172</v>
      </c>
      <c r="I4" s="11">
        <v>5668</v>
      </c>
      <c r="J4" s="20">
        <f>Table2[[#This Row],[TRUMP VOTES]]/C103</f>
        <v>0.35132957292506045</v>
      </c>
      <c r="K4" s="11">
        <v>1529</v>
      </c>
      <c r="L4" s="20">
        <f>Table2[[#This Row],[BIDEN VOTES]]/C103</f>
        <v>9.4774685427384861E-2</v>
      </c>
      <c r="M4" s="40">
        <f>Table2[[#This Row],[BIDEN VOTES]]/(MAX(K:K)-MIN(K:K))</f>
        <v>6.2219473189470296E-3</v>
      </c>
      <c r="N4" s="40">
        <f>1-(Table2[[#This Row],[NbP]]+Table2[[#This Row],[NbP2]])</f>
        <v>0.55389574164755473</v>
      </c>
      <c r="P4" s="81" t="s">
        <v>1679</v>
      </c>
      <c r="Q4" s="81">
        <f>CORREL(F:F,N:N)</f>
        <v>0.31827325051014449</v>
      </c>
      <c r="R4" s="81">
        <v>0.01</v>
      </c>
    </row>
    <row r="5" spans="1:18" ht="15">
      <c r="A5" s="13" t="s">
        <v>69</v>
      </c>
      <c r="B5" s="14" t="s">
        <v>74</v>
      </c>
      <c r="C5" s="13" t="s">
        <v>1</v>
      </c>
      <c r="D5" s="13" t="s">
        <v>71</v>
      </c>
      <c r="E5" s="26">
        <v>8.3180000000000004E-2</v>
      </c>
      <c r="F5" s="41">
        <f>Table3[[#This Row],[Perc. Abused
(Same-Age Population)]]/(MAX(E:E)-MIN(E:E))</f>
        <v>1.1651491805575009</v>
      </c>
      <c r="H5" s="11" t="s">
        <v>173</v>
      </c>
      <c r="I5" s="11">
        <v>4725</v>
      </c>
      <c r="J5" s="20">
        <f>Table2[[#This Row],[TRUMP VOTES]]/C104</f>
        <v>0.31582113495087227</v>
      </c>
      <c r="K5" s="11">
        <v>971</v>
      </c>
      <c r="L5" s="20">
        <f>Table2[[#This Row],[BIDEN VOTES]]/C104</f>
        <v>6.4902078738052274E-2</v>
      </c>
      <c r="M5" s="40">
        <f>Table2[[#This Row],[BIDEN VOTES]]/(MAX(K:K)-MIN(K:K))</f>
        <v>3.951282437343078E-3</v>
      </c>
      <c r="N5" s="40">
        <f>1-(Table2[[#This Row],[NbP]]+Table2[[#This Row],[NbP2]])</f>
        <v>0.61927678631107552</v>
      </c>
      <c r="P5" s="81"/>
      <c r="Q5" s="81"/>
      <c r="R5" s="81"/>
    </row>
    <row r="6" spans="1:18" ht="15">
      <c r="A6" s="11" t="s">
        <v>69</v>
      </c>
      <c r="B6" s="12" t="s">
        <v>75</v>
      </c>
      <c r="C6" s="11" t="s">
        <v>1</v>
      </c>
      <c r="D6" s="11" t="s">
        <v>71</v>
      </c>
      <c r="E6" s="25">
        <v>4.6030000000000001E-2</v>
      </c>
      <c r="F6" s="41">
        <f>Table3[[#This Row],[Perc. Abused
(Same-Age Population)]]/(MAX(E:E)-MIN(E:E))</f>
        <v>0.64476817481439974</v>
      </c>
      <c r="H6" s="11" t="s">
        <v>174</v>
      </c>
      <c r="I6" s="11">
        <v>47369</v>
      </c>
      <c r="J6" s="20">
        <f>Table2[[#This Row],[TRUMP VOTES]]/C105</f>
        <v>0.35983470195455824</v>
      </c>
      <c r="K6" s="11">
        <v>17932</v>
      </c>
      <c r="L6" s="20">
        <f>Table2[[#This Row],[BIDEN VOTES]]/C105</f>
        <v>0.13621895913887011</v>
      </c>
      <c r="M6" s="40">
        <f>Table2[[#This Row],[BIDEN VOTES]]/(MAX(K:K)-MIN(K:K))</f>
        <v>7.2970542395917687E-2</v>
      </c>
      <c r="N6" s="40">
        <f>1-(Table2[[#This Row],[NbP]]+Table2[[#This Row],[NbP2]])</f>
        <v>0.5039463389065717</v>
      </c>
      <c r="P6" s="81"/>
      <c r="Q6" s="81"/>
      <c r="R6" s="81"/>
    </row>
    <row r="7" spans="1:18" ht="15">
      <c r="A7" s="13" t="s">
        <v>69</v>
      </c>
      <c r="B7" s="14" t="s">
        <v>76</v>
      </c>
      <c r="C7" s="13" t="s">
        <v>1</v>
      </c>
      <c r="D7" s="13" t="s">
        <v>71</v>
      </c>
      <c r="E7" s="26">
        <v>6.0490000000000002E-2</v>
      </c>
      <c r="F7" s="41">
        <f>Table3[[#This Row],[Perc. Abused
(Same-Age Population)]]/(MAX(E:E)-MIN(E:E))</f>
        <v>0.84731755147779797</v>
      </c>
      <c r="H7" s="11" t="s">
        <v>175</v>
      </c>
      <c r="I7" s="11">
        <v>35204</v>
      </c>
      <c r="J7" s="20">
        <f>Table2[[#This Row],[TRUMP VOTES]]/C106</f>
        <v>0.3292432007781228</v>
      </c>
      <c r="K7" s="11">
        <v>9851</v>
      </c>
      <c r="L7" s="20">
        <f>Table2[[#This Row],[BIDEN VOTES]]/C106</f>
        <v>9.2130859301934084E-2</v>
      </c>
      <c r="M7" s="40">
        <f>Table2[[#This Row],[BIDEN VOTES]]/(MAX(K:K)-MIN(K:K))</f>
        <v>4.0086594531685539E-2</v>
      </c>
      <c r="N7" s="40">
        <f>1-(Table2[[#This Row],[NbP]]+Table2[[#This Row],[NbP2]])</f>
        <v>0.57862593991994316</v>
      </c>
      <c r="P7" s="81"/>
      <c r="Q7" s="81"/>
      <c r="R7" s="81"/>
    </row>
    <row r="8" spans="1:18" ht="15">
      <c r="A8" s="11" t="s">
        <v>69</v>
      </c>
      <c r="B8" s="12" t="s">
        <v>77</v>
      </c>
      <c r="C8" s="11" t="s">
        <v>1</v>
      </c>
      <c r="D8" s="11" t="s">
        <v>71</v>
      </c>
      <c r="E8" s="25">
        <v>6.3130000000000006E-2</v>
      </c>
      <c r="F8" s="41">
        <f>Table3[[#This Row],[Perc. Abused
(Same-Age Population)]]/(MAX(E:E)-MIN(E:E))</f>
        <v>0.88429752066115697</v>
      </c>
      <c r="H8" s="11" t="s">
        <v>176</v>
      </c>
      <c r="I8" s="11">
        <v>12331</v>
      </c>
      <c r="J8" s="20">
        <f>Table2[[#This Row],[TRUMP VOTES]]/C107</f>
        <v>0.30968406248430358</v>
      </c>
      <c r="K8" s="11">
        <v>2441</v>
      </c>
      <c r="L8" s="20">
        <f>Table2[[#This Row],[BIDEN VOTES]]/C107</f>
        <v>6.1303932894670753E-2</v>
      </c>
      <c r="M8" s="40">
        <f>Table2[[#This Row],[BIDEN VOTES]]/(MAX(K:K)-MIN(K:K))</f>
        <v>9.9331415340416611E-3</v>
      </c>
      <c r="N8" s="40">
        <f>1-(Table2[[#This Row],[NbP]]+Table2[[#This Row],[NbP2]])</f>
        <v>0.62901200462102569</v>
      </c>
      <c r="P8" s="81"/>
      <c r="Q8" s="81"/>
      <c r="R8" s="81"/>
    </row>
    <row r="9" spans="1:18" ht="15">
      <c r="A9" s="13" t="s">
        <v>69</v>
      </c>
      <c r="B9" s="14" t="s">
        <v>78</v>
      </c>
      <c r="C9" s="13" t="s">
        <v>1</v>
      </c>
      <c r="D9" s="13" t="s">
        <v>71</v>
      </c>
      <c r="E9" s="26">
        <v>5.3190000000000001E-2</v>
      </c>
      <c r="F9" s="41">
        <f>Table3[[#This Row],[Perc. Abused
(Same-Age Population)]]/(MAX(E:E)-MIN(E:E))</f>
        <v>0.74506233366017638</v>
      </c>
      <c r="H9" s="11" t="s">
        <v>177</v>
      </c>
      <c r="I9" s="11">
        <v>5190</v>
      </c>
      <c r="J9" s="20">
        <f>Table2[[#This Row],[TRUMP VOTES]]/C108</f>
        <v>0.3610685960762488</v>
      </c>
      <c r="K9" s="11">
        <v>1261</v>
      </c>
      <c r="L9" s="20">
        <f>Table2[[#This Row],[BIDEN VOTES]]/C108</f>
        <v>8.7727841936830392E-2</v>
      </c>
      <c r="M9" s="40">
        <f>Table2[[#This Row],[BIDEN VOTES]]/(MAX(K:K)-MIN(K:K))</f>
        <v>5.1313770890727304E-3</v>
      </c>
      <c r="N9" s="40">
        <f>1-(Table2[[#This Row],[NbP]]+Table2[[#This Row],[NbP2]])</f>
        <v>0.55120356198692078</v>
      </c>
      <c r="P9" s="81"/>
      <c r="Q9" s="81"/>
      <c r="R9" s="81"/>
    </row>
    <row r="10" spans="1:18" ht="15">
      <c r="A10" s="11" t="s">
        <v>69</v>
      </c>
      <c r="B10" s="12" t="s">
        <v>79</v>
      </c>
      <c r="C10" s="11" t="s">
        <v>1</v>
      </c>
      <c r="D10" s="11" t="s">
        <v>71</v>
      </c>
      <c r="E10" s="25">
        <v>5.4969999999999998E-2</v>
      </c>
      <c r="F10" s="41">
        <f>Table3[[#This Row],[Perc. Abused
(Same-Age Population)]]/(MAX(E:E)-MIN(E:E))</f>
        <v>0.76999579773077453</v>
      </c>
      <c r="H10" s="11" t="s">
        <v>178</v>
      </c>
      <c r="I10" s="11">
        <v>9205</v>
      </c>
      <c r="J10" s="20">
        <f>Table2[[#This Row],[TRUMP VOTES]]/C109</f>
        <v>0.33062749182859813</v>
      </c>
      <c r="K10" s="11">
        <v>2559</v>
      </c>
      <c r="L10" s="20">
        <f>Table2[[#This Row],[BIDEN VOTES]]/C109</f>
        <v>9.1914801910850899E-2</v>
      </c>
      <c r="M10" s="40">
        <f>Table2[[#This Row],[BIDEN VOTES]]/(MAX(K:K)-MIN(K:K))</f>
        <v>1.0413317978538554E-2</v>
      </c>
      <c r="N10" s="40">
        <f>1-(Table2[[#This Row],[NbP]]+Table2[[#This Row],[NbP2]])</f>
        <v>0.57745770626055104</v>
      </c>
      <c r="P10" s="81"/>
      <c r="Q10" s="81"/>
      <c r="R10" s="81"/>
    </row>
    <row r="11" spans="1:18" ht="15">
      <c r="A11" s="13" t="s">
        <v>69</v>
      </c>
      <c r="B11" s="14" t="s">
        <v>80</v>
      </c>
      <c r="C11" s="13" t="s">
        <v>1</v>
      </c>
      <c r="D11" s="13" t="s">
        <v>71</v>
      </c>
      <c r="E11" s="26">
        <v>6.3329999999999997E-2</v>
      </c>
      <c r="F11" s="41">
        <f>Table3[[#This Row],[Perc. Abused
(Same-Age Population)]]/(MAX(E:E)-MIN(E:E))</f>
        <v>0.88709903347807806</v>
      </c>
      <c r="H11" s="11" t="s">
        <v>179</v>
      </c>
      <c r="I11" s="11">
        <v>19584</v>
      </c>
      <c r="J11" s="20">
        <f>Table2[[#This Row],[TRUMP VOTES]]/C110</f>
        <v>0.34691419258839368</v>
      </c>
      <c r="K11" s="11">
        <v>4529</v>
      </c>
      <c r="L11" s="20">
        <f>Table2[[#This Row],[BIDEN VOTES]]/C110</f>
        <v>8.0227449868915182E-2</v>
      </c>
      <c r="M11" s="40">
        <f>Table2[[#This Row],[BIDEN VOTES]]/(MAX(K:K)-MIN(K:K))</f>
        <v>1.8429823026495158E-2</v>
      </c>
      <c r="N11" s="40">
        <f>1-(Table2[[#This Row],[NbP]]+Table2[[#This Row],[NbP2]])</f>
        <v>0.5728583575426911</v>
      </c>
      <c r="P11" s="81"/>
      <c r="Q11" s="81"/>
      <c r="R11" s="81"/>
    </row>
    <row r="12" spans="1:18" ht="15">
      <c r="A12" s="11" t="s">
        <v>69</v>
      </c>
      <c r="B12" s="12" t="s">
        <v>81</v>
      </c>
      <c r="C12" s="11" t="s">
        <v>1</v>
      </c>
      <c r="D12" s="11" t="s">
        <v>71</v>
      </c>
      <c r="E12" s="25">
        <v>4.9250000000000002E-2</v>
      </c>
      <c r="F12" s="41">
        <f>Table3[[#This Row],[Perc. Abused
(Same-Age Population)]]/(MAX(E:E)-MIN(E:E))</f>
        <v>0.68987253116683001</v>
      </c>
      <c r="H12" s="11" t="s">
        <v>180</v>
      </c>
      <c r="I12" s="11">
        <v>14438</v>
      </c>
      <c r="J12" s="20">
        <f>Table2[[#This Row],[TRUMP VOTES]]/C111</f>
        <v>0.35615086706628185</v>
      </c>
      <c r="K12" s="11">
        <v>5514</v>
      </c>
      <c r="L12" s="20">
        <f>Table2[[#This Row],[BIDEN VOTES]]/C111</f>
        <v>0.13601716865240879</v>
      </c>
      <c r="M12" s="40">
        <f>Table2[[#This Row],[BIDEN VOTES]]/(MAX(K:K)-MIN(K:K))</f>
        <v>2.2438075550473464E-2</v>
      </c>
      <c r="N12" s="40">
        <f>1-(Table2[[#This Row],[NbP]]+Table2[[#This Row],[NbP2]])</f>
        <v>0.50783196428130939</v>
      </c>
      <c r="P12" s="81"/>
      <c r="Q12" s="81"/>
      <c r="R12" s="81"/>
    </row>
    <row r="13" spans="1:18" ht="15">
      <c r="A13" s="13" t="s">
        <v>69</v>
      </c>
      <c r="B13" s="14" t="s">
        <v>82</v>
      </c>
      <c r="C13" s="13" t="s">
        <v>1</v>
      </c>
      <c r="D13" s="13" t="s">
        <v>71</v>
      </c>
      <c r="E13" s="26">
        <v>4.6649999999999997E-2</v>
      </c>
      <c r="F13" s="41">
        <f>Table3[[#This Row],[Perc. Abused
(Same-Age Population)]]/(MAX(E:E)-MIN(E:E))</f>
        <v>0.65345286454685514</v>
      </c>
      <c r="H13" s="11" t="s">
        <v>181</v>
      </c>
      <c r="I13" s="11">
        <v>5952</v>
      </c>
      <c r="J13" s="20">
        <f>Table2[[#This Row],[TRUMP VOTES]]/C112</f>
        <v>0.3448435689455388</v>
      </c>
      <c r="K13" s="11">
        <v>1412</v>
      </c>
      <c r="L13" s="20">
        <f>Table2[[#This Row],[BIDEN VOTES]]/C112</f>
        <v>8.1807647740440331E-2</v>
      </c>
      <c r="M13" s="40">
        <f>Table2[[#This Row],[BIDEN VOTES]]/(MAX(K:K)-MIN(K:K))</f>
        <v>5.7458401663526533E-3</v>
      </c>
      <c r="N13" s="40">
        <f>1-(Table2[[#This Row],[NbP]]+Table2[[#This Row],[NbP2]])</f>
        <v>0.57334878331402084</v>
      </c>
      <c r="P13" s="81"/>
      <c r="Q13" s="81"/>
      <c r="R13" s="81"/>
    </row>
    <row r="14" spans="1:18" ht="15">
      <c r="A14" s="11" t="s">
        <v>69</v>
      </c>
      <c r="B14" s="12" t="s">
        <v>83</v>
      </c>
      <c r="C14" s="11" t="s">
        <v>1</v>
      </c>
      <c r="D14" s="11" t="s">
        <v>71</v>
      </c>
      <c r="E14" s="25">
        <v>5.2920000000000002E-2</v>
      </c>
      <c r="F14" s="41">
        <f>Table3[[#This Row],[Perc. Abused
(Same-Age Population)]]/(MAX(E:E)-MIN(E:E))</f>
        <v>0.74128029135733287</v>
      </c>
      <c r="H14" s="11" t="s">
        <v>182</v>
      </c>
      <c r="I14" s="11">
        <v>10604</v>
      </c>
      <c r="J14" s="20">
        <f>Table2[[#This Row],[TRUMP VOTES]]/C113</f>
        <v>0.3331762340151444</v>
      </c>
      <c r="K14" s="11">
        <v>2202</v>
      </c>
      <c r="L14" s="20">
        <f>Table2[[#This Row],[BIDEN VOTES]]/C113</f>
        <v>6.9186539730417565E-2</v>
      </c>
      <c r="M14" s="40">
        <f>Table2[[#This Row],[BIDEN VOTES]]/(MAX(K:K)-MIN(K:K))</f>
        <v>8.9605807693403268E-3</v>
      </c>
      <c r="N14" s="40">
        <f>1-(Table2[[#This Row],[NbP]]+Table2[[#This Row],[NbP2]])</f>
        <v>0.59763722625443805</v>
      </c>
    </row>
    <row r="15" spans="1:18" ht="15">
      <c r="A15" s="13" t="s">
        <v>69</v>
      </c>
      <c r="B15" s="14" t="s">
        <v>84</v>
      </c>
      <c r="C15" s="13" t="s">
        <v>1</v>
      </c>
      <c r="D15" s="13" t="s">
        <v>71</v>
      </c>
      <c r="E15" s="26">
        <v>6.3240000000000005E-2</v>
      </c>
      <c r="F15" s="41">
        <f>Table3[[#This Row],[Perc. Abused
(Same-Age Population)]]/(MAX(E:E)-MIN(E:E))</f>
        <v>0.88583835271046363</v>
      </c>
      <c r="H15" s="11" t="s">
        <v>183</v>
      </c>
      <c r="I15" s="11">
        <v>2733</v>
      </c>
      <c r="J15" s="20">
        <f>Table2[[#This Row],[TRUMP VOTES]]/C114</f>
        <v>0.35772251308900521</v>
      </c>
      <c r="K15" s="11">
        <v>735</v>
      </c>
      <c r="L15" s="20">
        <f>Table2[[#This Row],[BIDEN VOTES]]/C114</f>
        <v>9.620418848167539E-2</v>
      </c>
      <c r="M15" s="40">
        <f>Table2[[#This Row],[BIDEN VOTES]]/(MAX(K:K)-MIN(K:K))</f>
        <v>2.9909295483492916E-3</v>
      </c>
      <c r="N15" s="40">
        <f>1-(Table2[[#This Row],[NbP]]+Table2[[#This Row],[NbP2]])</f>
        <v>0.5460732984293194</v>
      </c>
    </row>
    <row r="16" spans="1:18" ht="15">
      <c r="A16" s="11" t="s">
        <v>69</v>
      </c>
      <c r="B16" s="12" t="s">
        <v>85</v>
      </c>
      <c r="C16" s="11" t="s">
        <v>1</v>
      </c>
      <c r="D16" s="11" t="s">
        <v>71</v>
      </c>
      <c r="E16" s="25">
        <v>6.4100000000000004E-2</v>
      </c>
      <c r="F16" s="41">
        <f>Table3[[#This Row],[Perc. Abused
(Same-Age Population)]]/(MAX(E:E)-MIN(E:E))</f>
        <v>0.89788485782322447</v>
      </c>
      <c r="H16" s="11" t="s">
        <v>184</v>
      </c>
      <c r="I16" s="11">
        <v>12162</v>
      </c>
      <c r="J16" s="20">
        <f>Table2[[#This Row],[TRUMP VOTES]]/C115</f>
        <v>0.3397491409894684</v>
      </c>
      <c r="K16" s="11">
        <v>2533</v>
      </c>
      <c r="L16" s="20">
        <f>Table2[[#This Row],[BIDEN VOTES]]/C115</f>
        <v>7.0760119563091875E-2</v>
      </c>
      <c r="M16" s="40">
        <f>Table2[[#This Row],[BIDEN VOTES]]/(MAX(K:K)-MIN(K:K))</f>
        <v>1.0307516389073137E-2</v>
      </c>
      <c r="N16" s="40">
        <f>1-(Table2[[#This Row],[NbP]]+Table2[[#This Row],[NbP2]])</f>
        <v>0.58949073944743979</v>
      </c>
    </row>
    <row r="17" spans="1:14" ht="15">
      <c r="A17" s="13" t="s">
        <v>69</v>
      </c>
      <c r="B17" s="14" t="s">
        <v>86</v>
      </c>
      <c r="C17" s="13" t="s">
        <v>1</v>
      </c>
      <c r="D17" s="13" t="s">
        <v>71</v>
      </c>
      <c r="E17" s="26">
        <v>6.0839999999999998E-2</v>
      </c>
      <c r="F17" s="41">
        <f>Table3[[#This Row],[Perc. Abused
(Same-Age Population)]]/(MAX(E:E)-MIN(E:E))</f>
        <v>0.85222019890740985</v>
      </c>
      <c r="H17" s="11" t="s">
        <v>185</v>
      </c>
      <c r="I17" s="11">
        <v>17883</v>
      </c>
      <c r="J17" s="20">
        <f>Table2[[#This Row],[TRUMP VOTES]]/C116</f>
        <v>0.31920248464943596</v>
      </c>
      <c r="K17" s="11">
        <v>5705</v>
      </c>
      <c r="L17" s="20">
        <f>Table2[[#This Row],[BIDEN VOTES]]/C116</f>
        <v>0.1018313579894331</v>
      </c>
      <c r="M17" s="40">
        <f>Table2[[#This Row],[BIDEN VOTES]]/(MAX(K:K)-MIN(K:K))</f>
        <v>2.3215310303854025E-2</v>
      </c>
      <c r="N17" s="40">
        <f>1-(Table2[[#This Row],[NbP]]+Table2[[#This Row],[NbP2]])</f>
        <v>0.57896615736113088</v>
      </c>
    </row>
    <row r="18" spans="1:14" ht="15">
      <c r="A18" s="11" t="s">
        <v>69</v>
      </c>
      <c r="B18" s="12" t="s">
        <v>87</v>
      </c>
      <c r="C18" s="11" t="s">
        <v>1</v>
      </c>
      <c r="D18" s="11" t="s">
        <v>71</v>
      </c>
      <c r="E18" s="25">
        <v>3.977E-2</v>
      </c>
      <c r="F18" s="41">
        <f>Table3[[#This Row],[Perc. Abused
(Same-Age Population)]]/(MAX(E:E)-MIN(E:E))</f>
        <v>0.55708082364476808</v>
      </c>
      <c r="H18" s="11" t="s">
        <v>186</v>
      </c>
      <c r="I18" s="11">
        <v>4673</v>
      </c>
      <c r="J18" s="20">
        <f>Table2[[#This Row],[TRUMP VOTES]]/C117</f>
        <v>0.32655485674353601</v>
      </c>
      <c r="K18" s="11">
        <v>1382</v>
      </c>
      <c r="L18" s="20">
        <f>Table2[[#This Row],[BIDEN VOTES]]/C117</f>
        <v>9.6575821104122994E-2</v>
      </c>
      <c r="M18" s="40">
        <f>Table2[[#This Row],[BIDEN VOTES]]/(MAX(K:K)-MIN(K:K))</f>
        <v>5.6237614092771717E-3</v>
      </c>
      <c r="N18" s="40">
        <f>1-(Table2[[#This Row],[NbP]]+Table2[[#This Row],[NbP2]])</f>
        <v>0.57686932215234099</v>
      </c>
    </row>
    <row r="19" spans="1:14" ht="15">
      <c r="A19" s="13" t="s">
        <v>69</v>
      </c>
      <c r="B19" s="14" t="s">
        <v>88</v>
      </c>
      <c r="C19" s="13" t="s">
        <v>1</v>
      </c>
      <c r="D19" s="13" t="s">
        <v>71</v>
      </c>
      <c r="E19" s="26">
        <v>6.5860000000000002E-2</v>
      </c>
      <c r="F19" s="41">
        <f>Table3[[#This Row],[Perc. Abused
(Same-Age Population)]]/(MAX(E:E)-MIN(E:E))</f>
        <v>0.9225381706121305</v>
      </c>
      <c r="H19" s="11" t="s">
        <v>187</v>
      </c>
      <c r="I19" s="11">
        <v>25168</v>
      </c>
      <c r="J19" s="20">
        <f>Table2[[#This Row],[TRUMP VOTES]]/C118</f>
        <v>0.41935483870967744</v>
      </c>
      <c r="K19" s="11">
        <v>6728</v>
      </c>
      <c r="L19" s="20">
        <f>Table2[[#This Row],[BIDEN VOTES]]/C118</f>
        <v>0.11210343908291122</v>
      </c>
      <c r="M19" s="40">
        <f>Table2[[#This Row],[BIDEN VOTES]]/(MAX(K:K)-MIN(K:K))</f>
        <v>2.737819592012794E-2</v>
      </c>
      <c r="N19" s="40">
        <f>1-(Table2[[#This Row],[NbP]]+Table2[[#This Row],[NbP2]])</f>
        <v>0.4685417222074113</v>
      </c>
    </row>
    <row r="20" spans="1:14" ht="15">
      <c r="A20" s="11" t="s">
        <v>69</v>
      </c>
      <c r="B20" s="12" t="s">
        <v>89</v>
      </c>
      <c r="C20" s="11" t="s">
        <v>1</v>
      </c>
      <c r="D20" s="11" t="s">
        <v>71</v>
      </c>
      <c r="E20" s="25">
        <v>4.181E-2</v>
      </c>
      <c r="F20" s="41">
        <f>Table3[[#This Row],[Perc. Abused
(Same-Age Population)]]/(MAX(E:E)-MIN(E:E))</f>
        <v>0.58565625437736368</v>
      </c>
      <c r="H20" s="11" t="s">
        <v>188</v>
      </c>
      <c r="I20" s="11">
        <v>100218</v>
      </c>
      <c r="J20" s="20">
        <f>Table2[[#This Row],[TRUMP VOTES]]/C119</f>
        <v>0.14512989834042922</v>
      </c>
      <c r="K20" s="11">
        <v>199703</v>
      </c>
      <c r="L20" s="20">
        <f>Table2[[#This Row],[BIDEN VOTES]]/C119</f>
        <v>0.28919830857010453</v>
      </c>
      <c r="M20" s="40">
        <f>Table2[[#This Row],[BIDEN VOTES]]/(MAX(K:K)-MIN(K:K))</f>
        <v>0.8126498008081614</v>
      </c>
      <c r="N20" s="40">
        <f>1-(Table2[[#This Row],[NbP]]+Table2[[#This Row],[NbP2]])</f>
        <v>0.56567179308946625</v>
      </c>
    </row>
    <row r="21" spans="1:14" ht="15">
      <c r="A21" s="13" t="s">
        <v>69</v>
      </c>
      <c r="B21" s="14" t="s">
        <v>90</v>
      </c>
      <c r="C21" s="13" t="s">
        <v>1</v>
      </c>
      <c r="D21" s="13" t="s">
        <v>71</v>
      </c>
      <c r="E21" s="26">
        <v>4.7600000000000003E-2</v>
      </c>
      <c r="F21" s="41">
        <f>Table3[[#This Row],[Perc. Abused
(Same-Age Population)]]/(MAX(E:E)-MIN(E:E))</f>
        <v>0.66676005042723063</v>
      </c>
      <c r="H21" s="11" t="s">
        <v>189</v>
      </c>
      <c r="I21" s="11">
        <v>4229</v>
      </c>
      <c r="J21" s="20">
        <f>Table2[[#This Row],[TRUMP VOTES]]/C120</f>
        <v>0.36259967418331474</v>
      </c>
      <c r="K21" s="11">
        <v>904</v>
      </c>
      <c r="L21" s="20">
        <f>Table2[[#This Row],[BIDEN VOTES]]/C120</f>
        <v>7.7510074594872677E-2</v>
      </c>
      <c r="M21" s="40">
        <f>Table2[[#This Row],[BIDEN VOTES]]/(MAX(K:K)-MIN(K:K))</f>
        <v>3.6786398798745032E-3</v>
      </c>
      <c r="N21" s="40">
        <f>1-(Table2[[#This Row],[NbP]]+Table2[[#This Row],[NbP2]])</f>
        <v>0.55989025122181257</v>
      </c>
    </row>
    <row r="22" spans="1:14" ht="15">
      <c r="A22" s="11" t="s">
        <v>69</v>
      </c>
      <c r="B22" s="12" t="s">
        <v>91</v>
      </c>
      <c r="C22" s="11" t="s">
        <v>1</v>
      </c>
      <c r="D22" s="11" t="s">
        <v>71</v>
      </c>
      <c r="E22" s="25">
        <v>7.4039999999999995E-2</v>
      </c>
      <c r="F22" s="41">
        <f>Table3[[#This Row],[Perc. Abused
(Same-Age Population)]]/(MAX(E:E)-MIN(E:E))</f>
        <v>1.0371200448242048</v>
      </c>
      <c r="H22" s="11" t="s">
        <v>190</v>
      </c>
      <c r="I22" s="11">
        <v>6672</v>
      </c>
      <c r="J22" s="20">
        <f>Table2[[#This Row],[TRUMP VOTES]]/C121</f>
        <v>0.33187425387982489</v>
      </c>
      <c r="K22" s="11">
        <v>1750</v>
      </c>
      <c r="L22" s="20">
        <f>Table2[[#This Row],[BIDEN VOTES]]/C121</f>
        <v>8.7047353760445687E-2</v>
      </c>
      <c r="M22" s="40">
        <f>Table2[[#This Row],[BIDEN VOTES]]/(MAX(K:K)-MIN(K:K))</f>
        <v>7.1212608294030756E-3</v>
      </c>
      <c r="N22" s="40">
        <f>1-(Table2[[#This Row],[NbP]]+Table2[[#This Row],[NbP2]])</f>
        <v>0.58107839235972936</v>
      </c>
    </row>
    <row r="23" spans="1:14" ht="15">
      <c r="A23" s="13" t="s">
        <v>69</v>
      </c>
      <c r="B23" s="14" t="s">
        <v>92</v>
      </c>
      <c r="C23" s="13" t="s">
        <v>1</v>
      </c>
      <c r="D23" s="13" t="s">
        <v>71</v>
      </c>
      <c r="E23" s="26">
        <v>5.0250000000000003E-2</v>
      </c>
      <c r="F23" s="41">
        <f>Table3[[#This Row],[Perc. Abused
(Same-Age Population)]]/(MAX(E:E)-MIN(E:E))</f>
        <v>0.70388009525143569</v>
      </c>
      <c r="H23" s="11" t="s">
        <v>191</v>
      </c>
      <c r="I23" s="11">
        <v>17643</v>
      </c>
      <c r="J23" s="20">
        <f>Table2[[#This Row],[TRUMP VOTES]]/C122</f>
        <v>0.33108146146484263</v>
      </c>
      <c r="K23" s="11">
        <v>6106</v>
      </c>
      <c r="L23" s="20">
        <f>Table2[[#This Row],[BIDEN VOTES]]/C122</f>
        <v>0.11458274690836757</v>
      </c>
      <c r="M23" s="40">
        <f>Table2[[#This Row],[BIDEN VOTES]]/(MAX(K:K)-MIN(K:K))</f>
        <v>2.4847096356762959E-2</v>
      </c>
      <c r="N23" s="40">
        <f>1-(Table2[[#This Row],[NbP]]+Table2[[#This Row],[NbP2]])</f>
        <v>0.55433579162678981</v>
      </c>
    </row>
    <row r="24" spans="1:14" ht="15">
      <c r="A24" s="11" t="s">
        <v>69</v>
      </c>
      <c r="B24" s="12" t="s">
        <v>93</v>
      </c>
      <c r="C24" s="11" t="s">
        <v>1</v>
      </c>
      <c r="D24" s="11" t="s">
        <v>71</v>
      </c>
      <c r="E24" s="25">
        <v>5.4719999999999998E-2</v>
      </c>
      <c r="F24" s="41">
        <f>Table3[[#This Row],[Perc. Abused
(Same-Age Population)]]/(MAX(E:E)-MIN(E:E))</f>
        <v>0.76649390670962303</v>
      </c>
      <c r="H24" s="11" t="s">
        <v>192</v>
      </c>
      <c r="I24" s="11">
        <v>11768</v>
      </c>
      <c r="J24" s="20">
        <f>Table2[[#This Row],[TRUMP VOTES]]/C123</f>
        <v>0.3163355823768178</v>
      </c>
      <c r="K24" s="11">
        <v>3158</v>
      </c>
      <c r="L24" s="20">
        <f>Table2[[#This Row],[BIDEN VOTES]]/C123</f>
        <v>8.4890191123894523E-2</v>
      </c>
      <c r="M24" s="40">
        <f>Table2[[#This Row],[BIDEN VOTES]]/(MAX(K:K)-MIN(K:K))</f>
        <v>1.2850823828145664E-2</v>
      </c>
      <c r="N24" s="40">
        <f>1-(Table2[[#This Row],[NbP]]+Table2[[#This Row],[NbP2]])</f>
        <v>0.59877422649928769</v>
      </c>
    </row>
    <row r="25" spans="1:14" ht="15">
      <c r="A25" s="13" t="s">
        <v>69</v>
      </c>
      <c r="B25" s="14" t="s">
        <v>94</v>
      </c>
      <c r="C25" s="13" t="s">
        <v>1</v>
      </c>
      <c r="D25" s="13" t="s">
        <v>71</v>
      </c>
      <c r="E25" s="26">
        <v>2.9760000000000002E-2</v>
      </c>
      <c r="F25" s="41">
        <f>Table3[[#This Row],[Perc. Abused
(Same-Age Population)]]/(MAX(E:E)-MIN(E:E))</f>
        <v>0.41686510715786523</v>
      </c>
      <c r="H25" s="11" t="s">
        <v>193</v>
      </c>
      <c r="I25" s="11">
        <v>15690</v>
      </c>
      <c r="J25" s="20">
        <f>Table2[[#This Row],[TRUMP VOTES]]/C124</f>
        <v>0.38633901309957647</v>
      </c>
      <c r="K25" s="11">
        <v>7027</v>
      </c>
      <c r="L25" s="20">
        <f>Table2[[#This Row],[BIDEN VOTES]]/C124</f>
        <v>0.1730276765488033</v>
      </c>
      <c r="M25" s="40">
        <f>Table2[[#This Row],[BIDEN VOTES]]/(MAX(K:K)-MIN(K:K))</f>
        <v>2.8594914198980234E-2</v>
      </c>
      <c r="N25" s="40">
        <f>1-(Table2[[#This Row],[NbP]]+Table2[[#This Row],[NbP2]])</f>
        <v>0.44063331035162023</v>
      </c>
    </row>
    <row r="26" spans="1:14" ht="15">
      <c r="A26" s="11" t="s">
        <v>69</v>
      </c>
      <c r="B26" s="12" t="s">
        <v>95</v>
      </c>
      <c r="C26" s="11" t="s">
        <v>1</v>
      </c>
      <c r="D26" s="11" t="s">
        <v>71</v>
      </c>
      <c r="E26" s="25">
        <v>6.4710000000000004E-2</v>
      </c>
      <c r="F26" s="41">
        <f>Table3[[#This Row],[Perc. Abused
(Same-Age Population)]]/(MAX(E:E)-MIN(E:E))</f>
        <v>0.90642947191483392</v>
      </c>
      <c r="H26" s="11" t="s">
        <v>194</v>
      </c>
      <c r="I26" s="11">
        <v>7441</v>
      </c>
      <c r="J26" s="20">
        <f>Table2[[#This Row],[TRUMP VOTES]]/C125</f>
        <v>0.404292311871774</v>
      </c>
      <c r="K26" s="11">
        <v>1214</v>
      </c>
      <c r="L26" s="20">
        <f>Table2[[#This Row],[BIDEN VOTES]]/C125</f>
        <v>6.5960336864982344E-2</v>
      </c>
      <c r="M26" s="40">
        <f>Table2[[#This Row],[BIDEN VOTES]]/(MAX(K:K)-MIN(K:K))</f>
        <v>4.9401203696544764E-3</v>
      </c>
      <c r="N26" s="40">
        <f>1-(Table2[[#This Row],[NbP]]+Table2[[#This Row],[NbP2]])</f>
        <v>0.52974735126324368</v>
      </c>
    </row>
    <row r="27" spans="1:14" ht="15">
      <c r="A27" s="13" t="s">
        <v>69</v>
      </c>
      <c r="B27" s="14" t="s">
        <v>96</v>
      </c>
      <c r="C27" s="13" t="s">
        <v>1</v>
      </c>
      <c r="D27" s="13" t="s">
        <v>71</v>
      </c>
      <c r="E27" s="26">
        <v>4.6519999999999999E-2</v>
      </c>
      <c r="F27" s="41">
        <f>Table3[[#This Row],[Perc. Abused
(Same-Age Population)]]/(MAX(E:E)-MIN(E:E))</f>
        <v>0.65163188121585647</v>
      </c>
      <c r="H27" s="11" t="s">
        <v>195</v>
      </c>
      <c r="I27" s="11">
        <v>13987</v>
      </c>
      <c r="J27" s="20">
        <f>Table2[[#This Row],[TRUMP VOTES]]/C126</f>
        <v>0.33303173885092502</v>
      </c>
      <c r="K27" s="11">
        <v>4864</v>
      </c>
      <c r="L27" s="20">
        <f>Table2[[#This Row],[BIDEN VOTES]]/C126</f>
        <v>0.11581228124479154</v>
      </c>
      <c r="M27" s="40">
        <f>Table2[[#This Row],[BIDEN VOTES]]/(MAX(K:K)-MIN(K:K))</f>
        <v>1.9793035813838036E-2</v>
      </c>
      <c r="N27" s="40">
        <f>1-(Table2[[#This Row],[NbP]]+Table2[[#This Row],[NbP2]])</f>
        <v>0.55115597990428344</v>
      </c>
    </row>
    <row r="28" spans="1:14" ht="15">
      <c r="A28" s="11" t="s">
        <v>69</v>
      </c>
      <c r="B28" s="12" t="s">
        <v>97</v>
      </c>
      <c r="C28" s="11" t="s">
        <v>1</v>
      </c>
      <c r="D28" s="11" t="s">
        <v>71</v>
      </c>
      <c r="E28" s="25">
        <v>4.6030000000000001E-2</v>
      </c>
      <c r="F28" s="41">
        <f>Table3[[#This Row],[Perc. Abused
(Same-Age Population)]]/(MAX(E:E)-MIN(E:E))</f>
        <v>0.64476817481439974</v>
      </c>
      <c r="H28" s="11" t="s">
        <v>196</v>
      </c>
      <c r="I28" s="11">
        <v>16259</v>
      </c>
      <c r="J28" s="20">
        <f>Table2[[#This Row],[TRUMP VOTES]]/C127</f>
        <v>0.33051450409611122</v>
      </c>
      <c r="K28" s="11">
        <v>5771</v>
      </c>
      <c r="L28" s="20">
        <f>Table2[[#This Row],[BIDEN VOTES]]/C127</f>
        <v>0.11731343890390909</v>
      </c>
      <c r="M28" s="40">
        <f>Table2[[#This Row],[BIDEN VOTES]]/(MAX(K:K)-MIN(K:K))</f>
        <v>2.3483883569420085E-2</v>
      </c>
      <c r="N28" s="40">
        <f>1-(Table2[[#This Row],[NbP]]+Table2[[#This Row],[NbP2]])</f>
        <v>0.55217205699997973</v>
      </c>
    </row>
    <row r="29" spans="1:14" ht="15">
      <c r="A29" s="13" t="s">
        <v>69</v>
      </c>
      <c r="B29" s="14" t="s">
        <v>98</v>
      </c>
      <c r="C29" s="13" t="s">
        <v>1</v>
      </c>
      <c r="D29" s="13" t="s">
        <v>71</v>
      </c>
      <c r="E29" s="26">
        <v>4.7010000000000003E-2</v>
      </c>
      <c r="F29" s="41">
        <f>Table3[[#This Row],[Perc. Abused
(Same-Age Population)]]/(MAX(E:E)-MIN(E:E))</f>
        <v>0.6584955876173133</v>
      </c>
      <c r="H29" s="11" t="s">
        <v>197</v>
      </c>
      <c r="I29" s="11">
        <v>9784</v>
      </c>
      <c r="J29" s="20">
        <f>Table2[[#This Row],[TRUMP VOTES]]/C128</f>
        <v>0.3327551610379893</v>
      </c>
      <c r="K29" s="11">
        <v>3298</v>
      </c>
      <c r="L29" s="20">
        <f>Table2[[#This Row],[BIDEN VOTES]]/C128</f>
        <v>0.11216542529673842</v>
      </c>
      <c r="M29" s="40">
        <f>Table2[[#This Row],[BIDEN VOTES]]/(MAX(K:K)-MIN(K:K))</f>
        <v>1.342052469449791E-2</v>
      </c>
      <c r="N29" s="40">
        <f>1-(Table2[[#This Row],[NbP]]+Table2[[#This Row],[NbP2]])</f>
        <v>0.55507941366527225</v>
      </c>
    </row>
    <row r="30" spans="1:14" ht="15">
      <c r="A30" s="11" t="s">
        <v>69</v>
      </c>
      <c r="B30" s="12" t="s">
        <v>99</v>
      </c>
      <c r="C30" s="11" t="s">
        <v>1</v>
      </c>
      <c r="D30" s="11" t="s">
        <v>71</v>
      </c>
      <c r="E30" s="25">
        <v>4.5080000000000002E-2</v>
      </c>
      <c r="F30" s="41">
        <f>Table3[[#This Row],[Perc. Abused
(Same-Age Population)]]/(MAX(E:E)-MIN(E:E))</f>
        <v>0.63146098893402436</v>
      </c>
      <c r="H30" s="11" t="s">
        <v>198</v>
      </c>
      <c r="I30" s="11">
        <v>8565</v>
      </c>
      <c r="J30" s="20">
        <f>Table2[[#This Row],[TRUMP VOTES]]/C129</f>
        <v>0.36810211449200619</v>
      </c>
      <c r="K30" s="11">
        <v>1467</v>
      </c>
      <c r="L30" s="20">
        <f>Table2[[#This Row],[BIDEN VOTES]]/C129</f>
        <v>6.3047962867457452E-2</v>
      </c>
      <c r="M30" s="40">
        <f>Table2[[#This Row],[BIDEN VOTES]]/(MAX(K:K)-MIN(K:K))</f>
        <v>5.9696512209910357E-3</v>
      </c>
      <c r="N30" s="40">
        <f>1-(Table2[[#This Row],[NbP]]+Table2[[#This Row],[NbP2]])</f>
        <v>0.56884992264053635</v>
      </c>
    </row>
    <row r="31" spans="1:14" ht="15">
      <c r="A31" s="13" t="s">
        <v>69</v>
      </c>
      <c r="B31" s="14" t="s">
        <v>100</v>
      </c>
      <c r="C31" s="13" t="s">
        <v>1</v>
      </c>
      <c r="D31" s="13" t="s">
        <v>71</v>
      </c>
      <c r="E31" s="26">
        <v>6.1749999999999999E-2</v>
      </c>
      <c r="F31" s="41">
        <f>Table3[[#This Row],[Perc. Abused
(Same-Age Population)]]/(MAX(E:E)-MIN(E:E))</f>
        <v>0.86496708222440111</v>
      </c>
      <c r="H31" s="11" t="s">
        <v>199</v>
      </c>
      <c r="I31" s="11">
        <v>22259</v>
      </c>
      <c r="J31" s="20">
        <f>Table2[[#This Row],[TRUMP VOTES]]/C130</f>
        <v>0.32223460775656154</v>
      </c>
      <c r="K31" s="11">
        <v>5199</v>
      </c>
      <c r="L31" s="20">
        <f>Table2[[#This Row],[BIDEN VOTES]]/C130</f>
        <v>7.5263836009091298E-2</v>
      </c>
      <c r="M31" s="40">
        <f>Table2[[#This Row],[BIDEN VOTES]]/(MAX(K:K)-MIN(K:K))</f>
        <v>2.115624860118091E-2</v>
      </c>
      <c r="N31" s="40">
        <f>1-(Table2[[#This Row],[NbP]]+Table2[[#This Row],[NbP2]])</f>
        <v>0.6025015562343472</v>
      </c>
    </row>
    <row r="32" spans="1:14" ht="15">
      <c r="A32" s="11" t="s">
        <v>69</v>
      </c>
      <c r="B32" s="12" t="s">
        <v>101</v>
      </c>
      <c r="C32" s="11" t="s">
        <v>1</v>
      </c>
      <c r="D32" s="11" t="s">
        <v>71</v>
      </c>
      <c r="E32" s="25">
        <v>6.0060000000000002E-2</v>
      </c>
      <c r="F32" s="41">
        <f>Table3[[#This Row],[Perc. Abused
(Same-Age Population)]]/(MAX(E:E)-MIN(E:E))</f>
        <v>0.84129429892141749</v>
      </c>
      <c r="H32" s="11" t="s">
        <v>200</v>
      </c>
      <c r="I32" s="11">
        <v>4802</v>
      </c>
      <c r="J32" s="20">
        <f>Table2[[#This Row],[TRUMP VOTES]]/C131</f>
        <v>0.35913544237528983</v>
      </c>
      <c r="K32" s="11">
        <v>988</v>
      </c>
      <c r="L32" s="20">
        <f>Table2[[#This Row],[BIDEN VOTES]]/C131</f>
        <v>7.3891257198414481E-2</v>
      </c>
      <c r="M32" s="40">
        <f>Table2[[#This Row],[BIDEN VOTES]]/(MAX(K:K)-MIN(K:K))</f>
        <v>4.0204603996858504E-3</v>
      </c>
      <c r="N32" s="40">
        <f>1-(Table2[[#This Row],[NbP]]+Table2[[#This Row],[NbP2]])</f>
        <v>0.56697330042629568</v>
      </c>
    </row>
    <row r="33" spans="1:14" ht="15">
      <c r="A33" s="13" t="s">
        <v>69</v>
      </c>
      <c r="B33" s="14" t="s">
        <v>102</v>
      </c>
      <c r="C33" s="13" t="s">
        <v>1</v>
      </c>
      <c r="D33" s="13" t="s">
        <v>71</v>
      </c>
      <c r="E33" s="26">
        <v>4.4380000000000003E-2</v>
      </c>
      <c r="F33" s="41">
        <f>Table3[[#This Row],[Perc. Abused
(Same-Age Population)]]/(MAX(E:E)-MIN(E:E))</f>
        <v>0.62165569407480037</v>
      </c>
      <c r="H33" s="11" t="s">
        <v>201</v>
      </c>
      <c r="I33" s="11">
        <v>18811</v>
      </c>
      <c r="J33" s="20">
        <f>Table2[[#This Row],[TRUMP VOTES]]/C132</f>
        <v>0.29173839544657948</v>
      </c>
      <c r="K33" s="11">
        <v>5500</v>
      </c>
      <c r="L33" s="20">
        <f>Table2[[#This Row],[BIDEN VOTES]]/C132</f>
        <v>8.5299089626079808E-2</v>
      </c>
      <c r="M33" s="40">
        <f>Table2[[#This Row],[BIDEN VOTES]]/(MAX(K:K)-MIN(K:K))</f>
        <v>2.2381105463838237E-2</v>
      </c>
      <c r="N33" s="40">
        <f>1-(Table2[[#This Row],[NbP]]+Table2[[#This Row],[NbP2]])</f>
        <v>0.62296251492734078</v>
      </c>
    </row>
    <row r="34" spans="1:14" ht="15">
      <c r="A34" s="11" t="s">
        <v>69</v>
      </c>
      <c r="B34" s="12" t="s">
        <v>103</v>
      </c>
      <c r="C34" s="11" t="s">
        <v>1</v>
      </c>
      <c r="D34" s="11" t="s">
        <v>71</v>
      </c>
      <c r="E34" s="25">
        <v>3.5139999999999998E-2</v>
      </c>
      <c r="F34" s="41">
        <f>Table3[[#This Row],[Perc. Abused
(Same-Age Population)]]/(MAX(E:E)-MIN(E:E))</f>
        <v>0.49222580193304377</v>
      </c>
      <c r="H34" s="11" t="s">
        <v>202</v>
      </c>
      <c r="I34" s="11">
        <v>92108</v>
      </c>
      <c r="J34" s="20">
        <f>Table2[[#This Row],[TRUMP VOTES]]/C133</f>
        <v>0.25254580251043274</v>
      </c>
      <c r="K34" s="11">
        <v>75522</v>
      </c>
      <c r="L34" s="20">
        <f>Table2[[#This Row],[BIDEN VOTES]]/C133</f>
        <v>0.20706957155939656</v>
      </c>
      <c r="M34" s="40">
        <f>Table2[[#This Row],[BIDEN VOTES]]/(MAX(K:K)-MIN(K:K))</f>
        <v>0.30732106306181661</v>
      </c>
      <c r="N34" s="40">
        <f>1-(Table2[[#This Row],[NbP]]+Table2[[#This Row],[NbP2]])</f>
        <v>0.54038462593017067</v>
      </c>
    </row>
    <row r="35" spans="1:14" ht="15">
      <c r="A35" s="13" t="s">
        <v>69</v>
      </c>
      <c r="B35" s="14" t="s">
        <v>104</v>
      </c>
      <c r="C35" s="13" t="s">
        <v>1</v>
      </c>
      <c r="D35" s="13" t="s">
        <v>71</v>
      </c>
      <c r="E35" s="26">
        <v>7.5499999999999998E-2</v>
      </c>
      <c r="F35" s="41">
        <f>Table3[[#This Row],[Perc. Abused
(Same-Age Population)]]/(MAX(E:E)-MIN(E:E))</f>
        <v>1.0575710883877292</v>
      </c>
      <c r="H35" s="11" t="s">
        <v>203</v>
      </c>
      <c r="I35" s="11">
        <v>2372</v>
      </c>
      <c r="J35" s="20">
        <f>Table2[[#This Row],[TRUMP VOTES]]/C134</f>
        <v>0.36114494518879414</v>
      </c>
      <c r="K35" s="11">
        <v>362</v>
      </c>
      <c r="L35" s="20">
        <f>Table2[[#This Row],[BIDEN VOTES]]/C134</f>
        <v>5.5115712545676002E-2</v>
      </c>
      <c r="M35" s="40">
        <f>Table2[[#This Row],[BIDEN VOTES]]/(MAX(K:K)-MIN(K:K))</f>
        <v>1.4730836687108077E-3</v>
      </c>
      <c r="N35" s="40">
        <f>1-(Table2[[#This Row],[NbP]]+Table2[[#This Row],[NbP2]])</f>
        <v>0.58373934226552993</v>
      </c>
    </row>
    <row r="36" spans="1:14" ht="15">
      <c r="A36" s="11" t="s">
        <v>69</v>
      </c>
      <c r="B36" s="12" t="s">
        <v>105</v>
      </c>
      <c r="C36" s="11" t="s">
        <v>1</v>
      </c>
      <c r="D36" s="11" t="s">
        <v>71</v>
      </c>
      <c r="E36" s="25">
        <v>3.7440000000000001E-2</v>
      </c>
      <c r="F36" s="41">
        <f>Table3[[#This Row],[Perc. Abused
(Same-Age Population)]]/(MAX(E:E)-MIN(E:E))</f>
        <v>0.52444319932763683</v>
      </c>
      <c r="H36" s="11" t="s">
        <v>204</v>
      </c>
      <c r="I36" s="11">
        <v>5760</v>
      </c>
      <c r="J36" s="20">
        <f>Table2[[#This Row],[TRUMP VOTES]]/C135</f>
        <v>0.22814591832692993</v>
      </c>
      <c r="K36" s="11">
        <v>4180</v>
      </c>
      <c r="L36" s="20">
        <f>Table2[[#This Row],[BIDEN VOTES]]/C135</f>
        <v>0.16556422545252902</v>
      </c>
      <c r="M36" s="40">
        <f>Table2[[#This Row],[BIDEN VOTES]]/(MAX(K:K)-MIN(K:K))</f>
        <v>1.7009640152517061E-2</v>
      </c>
      <c r="N36" s="40">
        <f>1-(Table2[[#This Row],[NbP]]+Table2[[#This Row],[NbP2]])</f>
        <v>0.60628985622054099</v>
      </c>
    </row>
    <row r="37" spans="1:14" ht="15">
      <c r="A37" s="13" t="s">
        <v>69</v>
      </c>
      <c r="B37" s="14" t="s">
        <v>106</v>
      </c>
      <c r="C37" s="13" t="s">
        <v>1</v>
      </c>
      <c r="D37" s="13" t="s">
        <v>71</v>
      </c>
      <c r="E37" s="26">
        <v>5.9569999999999998E-2</v>
      </c>
      <c r="F37" s="41">
        <f>Table3[[#This Row],[Perc. Abused
(Same-Age Population)]]/(MAX(E:E)-MIN(E:E))</f>
        <v>0.83443059251996066</v>
      </c>
      <c r="H37" s="11" t="s">
        <v>205</v>
      </c>
      <c r="I37" s="11">
        <v>9559</v>
      </c>
      <c r="J37" s="20">
        <f>Table2[[#This Row],[TRUMP VOTES]]/C136</f>
        <v>0.37245275667251121</v>
      </c>
      <c r="K37" s="11">
        <v>1775</v>
      </c>
      <c r="L37" s="20">
        <f>Table2[[#This Row],[BIDEN VOTES]]/C136</f>
        <v>6.9160335086693947E-2</v>
      </c>
      <c r="M37" s="40">
        <f>Table2[[#This Row],[BIDEN VOTES]]/(MAX(K:K)-MIN(K:K))</f>
        <v>7.2229931269659764E-3</v>
      </c>
      <c r="N37" s="40">
        <f>1-(Table2[[#This Row],[NbP]]+Table2[[#This Row],[NbP2]])</f>
        <v>0.55838690824079484</v>
      </c>
    </row>
    <row r="38" spans="1:14" ht="15">
      <c r="A38" s="11" t="s">
        <v>69</v>
      </c>
      <c r="B38" s="12" t="s">
        <v>107</v>
      </c>
      <c r="C38" s="11" t="s">
        <v>1</v>
      </c>
      <c r="D38" s="11" t="s">
        <v>71</v>
      </c>
      <c r="E38" s="25">
        <v>5.8639999999999998E-2</v>
      </c>
      <c r="F38" s="41">
        <f>Table3[[#This Row],[Perc. Abused
(Same-Age Population)]]/(MAX(E:E)-MIN(E:E))</f>
        <v>0.82140355792127739</v>
      </c>
      <c r="H38" s="11" t="s">
        <v>206</v>
      </c>
      <c r="I38" s="11">
        <v>20405</v>
      </c>
      <c r="J38" s="20">
        <f>Table2[[#This Row],[TRUMP VOTES]]/C137</f>
        <v>0.3596545342381246</v>
      </c>
      <c r="K38" s="11">
        <v>4083</v>
      </c>
      <c r="L38" s="20">
        <f>Table2[[#This Row],[BIDEN VOTES]]/C137</f>
        <v>7.1966158455979548E-2</v>
      </c>
      <c r="M38" s="40">
        <f>Table2[[#This Row],[BIDEN VOTES]]/(MAX(K:K)-MIN(K:K))</f>
        <v>1.6614918837973003E-2</v>
      </c>
      <c r="N38" s="40">
        <f>1-(Table2[[#This Row],[NbP]]+Table2[[#This Row],[NbP2]])</f>
        <v>0.56837930730589581</v>
      </c>
    </row>
    <row r="39" spans="1:14" ht="15">
      <c r="A39" s="13" t="s">
        <v>69</v>
      </c>
      <c r="B39" s="14" t="s">
        <v>108</v>
      </c>
      <c r="C39" s="13" t="s">
        <v>1</v>
      </c>
      <c r="D39" s="13" t="s">
        <v>71</v>
      </c>
      <c r="E39" s="26">
        <v>3.4439999999999998E-2</v>
      </c>
      <c r="F39" s="41">
        <f>Table3[[#This Row],[Perc. Abused
(Same-Age Population)]]/(MAX(E:E)-MIN(E:E))</f>
        <v>0.48242050707381978</v>
      </c>
      <c r="H39" s="11" t="s">
        <v>207</v>
      </c>
      <c r="I39" s="11">
        <v>3343</v>
      </c>
      <c r="J39" s="20">
        <f>Table2[[#This Row],[TRUMP VOTES]]/C138</f>
        <v>0.19222586395261917</v>
      </c>
      <c r="K39" s="11">
        <v>4012</v>
      </c>
      <c r="L39" s="20">
        <f>Table2[[#This Row],[BIDEN VOTES]]/C138</f>
        <v>0.23069403714565004</v>
      </c>
      <c r="M39" s="40">
        <f>Table2[[#This Row],[BIDEN VOTES]]/(MAX(K:K)-MIN(K:K))</f>
        <v>1.6325999112894365E-2</v>
      </c>
      <c r="N39" s="40">
        <f>1-(Table2[[#This Row],[NbP]]+Table2[[#This Row],[NbP2]])</f>
        <v>0.57708009890173084</v>
      </c>
    </row>
    <row r="40" spans="1:14" ht="15">
      <c r="A40" s="11" t="s">
        <v>69</v>
      </c>
      <c r="B40" s="12" t="s">
        <v>109</v>
      </c>
      <c r="C40" s="11" t="s">
        <v>1</v>
      </c>
      <c r="D40" s="11" t="s">
        <v>71</v>
      </c>
      <c r="E40" s="25">
        <v>5.2560000000000003E-2</v>
      </c>
      <c r="F40" s="41">
        <f>Table3[[#This Row],[Perc. Abused
(Same-Age Population)]]/(MAX(E:E)-MIN(E:E))</f>
        <v>0.73623756828687481</v>
      </c>
      <c r="H40" s="11" t="s">
        <v>208</v>
      </c>
      <c r="I40" s="11">
        <v>9797</v>
      </c>
      <c r="J40" s="20">
        <f>Table2[[#This Row],[TRUMP VOTES]]/C139</f>
        <v>0.35044355415653167</v>
      </c>
      <c r="K40" s="11">
        <v>2092</v>
      </c>
      <c r="L40" s="20">
        <f>Table2[[#This Row],[BIDEN VOTES]]/C139</f>
        <v>7.4831878666475893E-2</v>
      </c>
      <c r="M40" s="40">
        <f>Table2[[#This Row],[BIDEN VOTES]]/(MAX(K:K)-MIN(K:K))</f>
        <v>8.5129586600635621E-3</v>
      </c>
      <c r="N40" s="40">
        <f>1-(Table2[[#This Row],[NbP]]+Table2[[#This Row],[NbP2]])</f>
        <v>0.5747245671769925</v>
      </c>
    </row>
    <row r="41" spans="1:14" ht="15">
      <c r="A41" s="13" t="s">
        <v>69</v>
      </c>
      <c r="B41" s="14" t="s">
        <v>110</v>
      </c>
      <c r="C41" s="13" t="s">
        <v>1</v>
      </c>
      <c r="D41" s="13" t="s">
        <v>71</v>
      </c>
      <c r="E41" s="26">
        <v>5.2319999999999998E-2</v>
      </c>
      <c r="F41" s="41">
        <f>Table3[[#This Row],[Perc. Abused
(Same-Age Population)]]/(MAX(E:E)-MIN(E:E))</f>
        <v>0.73287575290656948</v>
      </c>
      <c r="H41" s="11" t="s">
        <v>209</v>
      </c>
      <c r="I41" s="11">
        <v>11239</v>
      </c>
      <c r="J41" s="20">
        <f>Table2[[#This Row],[TRUMP VOTES]]/C140</f>
        <v>0.34848531828470436</v>
      </c>
      <c r="K41" s="11">
        <v>3548</v>
      </c>
      <c r="L41" s="20">
        <f>Table2[[#This Row],[BIDEN VOTES]]/C140</f>
        <v>0.11001209264828997</v>
      </c>
      <c r="M41" s="40">
        <f>Table2[[#This Row],[BIDEN VOTES]]/(MAX(K:K)-MIN(K:K))</f>
        <v>1.4437847670126921E-2</v>
      </c>
      <c r="N41" s="40">
        <f>1-(Table2[[#This Row],[NbP]]+Table2[[#This Row],[NbP2]])</f>
        <v>0.54150258906700566</v>
      </c>
    </row>
    <row r="42" spans="1:14" ht="15">
      <c r="A42" s="11" t="s">
        <v>69</v>
      </c>
      <c r="B42" s="12" t="s">
        <v>111</v>
      </c>
      <c r="C42" s="11" t="s">
        <v>1</v>
      </c>
      <c r="D42" s="11" t="s">
        <v>71</v>
      </c>
      <c r="E42" s="25">
        <v>6.565E-2</v>
      </c>
      <c r="F42" s="41">
        <f>Table3[[#This Row],[Perc. Abused
(Same-Age Population)]]/(MAX(E:E)-MIN(E:E))</f>
        <v>0.91959658215436324</v>
      </c>
      <c r="H42" s="11" t="s">
        <v>210</v>
      </c>
      <c r="I42" s="11">
        <v>7577</v>
      </c>
      <c r="J42" s="20">
        <f>Table2[[#This Row],[TRUMP VOTES]]/C141</f>
        <v>0.3028740456489587</v>
      </c>
      <c r="K42" s="11">
        <v>2130</v>
      </c>
      <c r="L42" s="20">
        <f>Table2[[#This Row],[BIDEN VOTES]]/C141</f>
        <v>8.5142103369708594E-2</v>
      </c>
      <c r="M42" s="40">
        <f>Table2[[#This Row],[BIDEN VOTES]]/(MAX(K:K)-MIN(K:K))</f>
        <v>8.667591752359172E-3</v>
      </c>
      <c r="N42" s="40">
        <f>1-(Table2[[#This Row],[NbP]]+Table2[[#This Row],[NbP2]])</f>
        <v>0.61198385098133268</v>
      </c>
    </row>
    <row r="43" spans="1:14" ht="15">
      <c r="A43" s="13" t="s">
        <v>69</v>
      </c>
      <c r="B43" s="14" t="s">
        <v>112</v>
      </c>
      <c r="C43" s="13" t="s">
        <v>1</v>
      </c>
      <c r="D43" s="13" t="s">
        <v>71</v>
      </c>
      <c r="E43" s="26">
        <v>5.8310000000000001E-2</v>
      </c>
      <c r="F43" s="41">
        <f>Table3[[#This Row],[Perc. Abused
(Same-Age Population)]]/(MAX(E:E)-MIN(E:E))</f>
        <v>0.81678106177335752</v>
      </c>
      <c r="H43" s="11" t="s">
        <v>211</v>
      </c>
      <c r="I43" s="11">
        <v>2718</v>
      </c>
      <c r="J43" s="20">
        <f>Table2[[#This Row],[TRUMP VOTES]]/C142</f>
        <v>0.33142299719546398</v>
      </c>
      <c r="K43" s="11">
        <v>871</v>
      </c>
      <c r="L43" s="20">
        <f>Table2[[#This Row],[BIDEN VOTES]]/C142</f>
        <v>0.10620656017558834</v>
      </c>
      <c r="M43" s="40">
        <f>Table2[[#This Row],[BIDEN VOTES]]/(MAX(K:K)-MIN(K:K))</f>
        <v>3.5443532470914737E-3</v>
      </c>
      <c r="N43" s="40">
        <f>1-(Table2[[#This Row],[NbP]]+Table2[[#This Row],[NbP2]])</f>
        <v>0.56237044262894775</v>
      </c>
    </row>
    <row r="44" spans="1:14" ht="15">
      <c r="A44" s="11" t="s">
        <v>69</v>
      </c>
      <c r="B44" s="12" t="s">
        <v>113</v>
      </c>
      <c r="C44" s="11" t="s">
        <v>1</v>
      </c>
      <c r="D44" s="11" t="s">
        <v>71</v>
      </c>
      <c r="E44" s="25">
        <v>5.3789999999999998E-2</v>
      </c>
      <c r="F44" s="41">
        <f>Table3[[#This Row],[Perc. Abused
(Same-Age Population)]]/(MAX(E:E)-MIN(E:E))</f>
        <v>0.75346687211093977</v>
      </c>
      <c r="H44" s="11" t="s">
        <v>212</v>
      </c>
      <c r="I44" s="11">
        <v>6120</v>
      </c>
      <c r="J44" s="20">
        <f>Table2[[#This Row],[TRUMP VOTES]]/C143</f>
        <v>0.33031088082901555</v>
      </c>
      <c r="K44" s="11">
        <v>2017</v>
      </c>
      <c r="L44" s="20">
        <f>Table2[[#This Row],[BIDEN VOTES]]/C143</f>
        <v>0.10886226252158894</v>
      </c>
      <c r="M44" s="40">
        <f>Table2[[#This Row],[BIDEN VOTES]]/(MAX(K:K)-MIN(K:K))</f>
        <v>8.207761767374859E-3</v>
      </c>
      <c r="N44" s="40">
        <f>1-(Table2[[#This Row],[NbP]]+Table2[[#This Row],[NbP2]])</f>
        <v>0.56082685664939547</v>
      </c>
    </row>
    <row r="45" spans="1:14" ht="15">
      <c r="A45" s="13" t="s">
        <v>69</v>
      </c>
      <c r="B45" s="14" t="s">
        <v>114</v>
      </c>
      <c r="C45" s="13" t="s">
        <v>1</v>
      </c>
      <c r="D45" s="13" t="s">
        <v>71</v>
      </c>
      <c r="E45" s="26">
        <v>5.8340000000000003E-2</v>
      </c>
      <c r="F45" s="41">
        <f>Table3[[#This Row],[Perc. Abused
(Same-Age Population)]]/(MAX(E:E)-MIN(E:E))</f>
        <v>0.8172012886958957</v>
      </c>
      <c r="H45" s="11" t="s">
        <v>213</v>
      </c>
      <c r="I45" s="11">
        <v>4118</v>
      </c>
      <c r="J45" s="20">
        <f>Table2[[#This Row],[TRUMP VOTES]]/C144</f>
        <v>0.34996175745729585</v>
      </c>
      <c r="K45" s="11">
        <v>1135</v>
      </c>
      <c r="L45" s="20">
        <f>Table2[[#This Row],[BIDEN VOTES]]/C144</f>
        <v>9.6456191042746664E-2</v>
      </c>
      <c r="M45" s="40">
        <f>Table2[[#This Row],[BIDEN VOTES]]/(MAX(K:K)-MIN(K:K))</f>
        <v>4.6186463093557091E-3</v>
      </c>
      <c r="N45" s="40">
        <f>1-(Table2[[#This Row],[NbP]]+Table2[[#This Row],[NbP2]])</f>
        <v>0.55358205149995743</v>
      </c>
    </row>
    <row r="46" spans="1:14" ht="15">
      <c r="A46" s="11" t="s">
        <v>69</v>
      </c>
      <c r="B46" s="12" t="s">
        <v>115</v>
      </c>
      <c r="C46" s="11" t="s">
        <v>1</v>
      </c>
      <c r="D46" s="11" t="s">
        <v>71</v>
      </c>
      <c r="E46" s="25">
        <v>5.9540000000000003E-2</v>
      </c>
      <c r="F46" s="41">
        <f>Table3[[#This Row],[Perc. Abused
(Same-Age Population)]]/(MAX(E:E)-MIN(E:E))</f>
        <v>0.83401036559742259</v>
      </c>
      <c r="H46" s="11" t="s">
        <v>214</v>
      </c>
      <c r="I46" s="11">
        <v>18651</v>
      </c>
      <c r="J46" s="20">
        <f>Table2[[#This Row],[TRUMP VOTES]]/C145</f>
        <v>0.34435582142461502</v>
      </c>
      <c r="K46" s="11">
        <v>4654</v>
      </c>
      <c r="L46" s="20">
        <f>Table2[[#This Row],[BIDEN VOTES]]/C145</f>
        <v>8.5927402976256423E-2</v>
      </c>
      <c r="M46" s="40">
        <f>Table2[[#This Row],[BIDEN VOTES]]/(MAX(K:K)-MIN(K:K))</f>
        <v>1.8938484514309666E-2</v>
      </c>
      <c r="N46" s="40">
        <f>1-(Table2[[#This Row],[NbP]]+Table2[[#This Row],[NbP2]])</f>
        <v>0.56971677559912859</v>
      </c>
    </row>
    <row r="47" spans="1:14" ht="15">
      <c r="A47" s="13" t="s">
        <v>69</v>
      </c>
      <c r="B47" s="14" t="s">
        <v>116</v>
      </c>
      <c r="C47" s="13" t="s">
        <v>1</v>
      </c>
      <c r="D47" s="13" t="s">
        <v>71</v>
      </c>
      <c r="E47" s="26">
        <v>7.0510000000000003E-2</v>
      </c>
      <c r="F47" s="41">
        <f>Table3[[#This Row],[Perc. Abused
(Same-Age Population)]]/(MAX(E:E)-MIN(E:E))</f>
        <v>0.98767334360554693</v>
      </c>
      <c r="H47" s="11" t="s">
        <v>215</v>
      </c>
      <c r="I47" s="11">
        <v>6468</v>
      </c>
      <c r="J47" s="20">
        <f>Table2[[#This Row],[TRUMP VOTES]]/C146</f>
        <v>0.36429174880315401</v>
      </c>
      <c r="K47" s="11">
        <v>1246</v>
      </c>
      <c r="L47" s="20">
        <f>Table2[[#This Row],[BIDEN VOTES]]/C146</f>
        <v>7.0177414812728808E-2</v>
      </c>
      <c r="M47" s="40">
        <f>Table2[[#This Row],[BIDEN VOTES]]/(MAX(K:K)-MIN(K:K))</f>
        <v>5.0703377105349896E-3</v>
      </c>
      <c r="N47" s="40">
        <f>1-(Table2[[#This Row],[NbP]]+Table2[[#This Row],[NbP2]])</f>
        <v>0.56553083638411716</v>
      </c>
    </row>
    <row r="48" spans="1:14" ht="15">
      <c r="A48" s="11" t="s">
        <v>69</v>
      </c>
      <c r="B48" s="12" t="s">
        <v>117</v>
      </c>
      <c r="C48" s="11" t="s">
        <v>1</v>
      </c>
      <c r="D48" s="11" t="s">
        <v>71</v>
      </c>
      <c r="E48" s="25">
        <v>4.3310000000000001E-2</v>
      </c>
      <c r="F48" s="41">
        <f>Table3[[#This Row],[Perc. Abused
(Same-Age Population)]]/(MAX(E:E)-MIN(E:E))</f>
        <v>0.60666760050427226</v>
      </c>
      <c r="H48" s="11" t="s">
        <v>216</v>
      </c>
      <c r="I48" s="11">
        <v>124540</v>
      </c>
      <c r="J48" s="20">
        <f>Table2[[#This Row],[TRUMP VOTES]]/C147</f>
        <v>0.26714773565802347</v>
      </c>
      <c r="K48" s="11">
        <v>91422</v>
      </c>
      <c r="L48" s="20">
        <f>Table2[[#This Row],[BIDEN VOTES]]/C147</f>
        <v>0.19610711650335491</v>
      </c>
      <c r="M48" s="40">
        <f>Table2[[#This Row],[BIDEN VOTES]]/(MAX(K:K)-MIN(K:K))</f>
        <v>0.37202280431182172</v>
      </c>
      <c r="N48" s="40">
        <f>1-(Table2[[#This Row],[NbP]]+Table2[[#This Row],[NbP2]])</f>
        <v>0.53674514783862159</v>
      </c>
    </row>
    <row r="49" spans="1:14" ht="15">
      <c r="A49" s="13" t="s">
        <v>69</v>
      </c>
      <c r="B49" s="14" t="s">
        <v>118</v>
      </c>
      <c r="C49" s="13" t="s">
        <v>1</v>
      </c>
      <c r="D49" s="13" t="s">
        <v>71</v>
      </c>
      <c r="E49" s="26">
        <v>6.1429999999999998E-2</v>
      </c>
      <c r="F49" s="41">
        <f>Table3[[#This Row],[Perc. Abused
(Same-Age Population)]]/(MAX(E:E)-MIN(E:E))</f>
        <v>0.86048466171732718</v>
      </c>
      <c r="H49" s="11" t="s">
        <v>217</v>
      </c>
      <c r="I49" s="11">
        <v>1492</v>
      </c>
      <c r="J49" s="20">
        <f>Table2[[#This Row],[TRUMP VOTES]]/C148</f>
        <v>0.20514230716348136</v>
      </c>
      <c r="K49" s="11">
        <v>526</v>
      </c>
      <c r="L49" s="20">
        <f>Table2[[#This Row],[BIDEN VOTES]]/C148</f>
        <v>7.2322287914203212E-2</v>
      </c>
      <c r="M49" s="40">
        <f>Table2[[#This Row],[BIDEN VOTES]]/(MAX(K:K)-MIN(K:K))</f>
        <v>2.1404475407234389E-3</v>
      </c>
      <c r="N49" s="40">
        <f>1-(Table2[[#This Row],[NbP]]+Table2[[#This Row],[NbP2]])</f>
        <v>0.72253540492231538</v>
      </c>
    </row>
    <row r="50" spans="1:14" ht="15">
      <c r="A50" s="11" t="s">
        <v>69</v>
      </c>
      <c r="B50" s="12" t="s">
        <v>119</v>
      </c>
      <c r="C50" s="11" t="s">
        <v>1</v>
      </c>
      <c r="D50" s="11" t="s">
        <v>71</v>
      </c>
      <c r="E50" s="25">
        <v>4.8820000000000002E-2</v>
      </c>
      <c r="F50" s="41">
        <f>Table3[[#This Row],[Perc. Abused
(Same-Age Population)]]/(MAX(E:E)-MIN(E:E))</f>
        <v>0.68384927861044964</v>
      </c>
      <c r="H50" s="11" t="s">
        <v>218</v>
      </c>
      <c r="I50" s="11">
        <v>5674</v>
      </c>
      <c r="J50" s="20">
        <f>Table2[[#This Row],[TRUMP VOTES]]/C149</f>
        <v>0.22087274709019425</v>
      </c>
      <c r="K50" s="11">
        <v>3193</v>
      </c>
      <c r="L50" s="20">
        <f>Table2[[#This Row],[BIDEN VOTES]]/C149</f>
        <v>0.12429444509323057</v>
      </c>
      <c r="M50" s="40">
        <f>Table2[[#This Row],[BIDEN VOTES]]/(MAX(K:K)-MIN(K:K))</f>
        <v>1.2993249044733726E-2</v>
      </c>
      <c r="N50" s="40">
        <f>1-(Table2[[#This Row],[NbP]]+Table2[[#This Row],[NbP2]])</f>
        <v>0.65483280781657516</v>
      </c>
    </row>
    <row r="51" spans="1:14" ht="15">
      <c r="A51" s="13" t="s">
        <v>69</v>
      </c>
      <c r="B51" s="14" t="s">
        <v>120</v>
      </c>
      <c r="C51" s="13" t="s">
        <v>1</v>
      </c>
      <c r="D51" s="13" t="s">
        <v>71</v>
      </c>
      <c r="E51" s="26">
        <v>4.3189999999999999E-2</v>
      </c>
      <c r="F51" s="41">
        <f>Table3[[#This Row],[Perc. Abused
(Same-Age Population)]]/(MAX(E:E)-MIN(E:E))</f>
        <v>0.60498669281411954</v>
      </c>
      <c r="H51" s="11" t="s">
        <v>219</v>
      </c>
      <c r="I51" s="11">
        <v>15334</v>
      </c>
      <c r="J51" s="20">
        <f>Table2[[#This Row],[TRUMP VOTES]]/C150</f>
        <v>0.35025125628140702</v>
      </c>
      <c r="K51" s="11">
        <v>3195</v>
      </c>
      <c r="L51" s="20">
        <f>Table2[[#This Row],[BIDEN VOTES]]/C150</f>
        <v>7.2978529008679766E-2</v>
      </c>
      <c r="M51" s="40">
        <f>Table2[[#This Row],[BIDEN VOTES]]/(MAX(K:K)-MIN(K:K))</f>
        <v>1.3001387628538757E-2</v>
      </c>
      <c r="N51" s="40">
        <f>1-(Table2[[#This Row],[NbP]]+Table2[[#This Row],[NbP2]])</f>
        <v>0.57677021470991319</v>
      </c>
    </row>
    <row r="52" spans="1:14" ht="15">
      <c r="A52" s="11" t="s">
        <v>69</v>
      </c>
      <c r="B52" s="12" t="s">
        <v>121</v>
      </c>
      <c r="C52" s="11" t="s">
        <v>1</v>
      </c>
      <c r="D52" s="11" t="s">
        <v>71</v>
      </c>
      <c r="E52" s="25">
        <v>5.4769999999999999E-2</v>
      </c>
      <c r="F52" s="41">
        <f>Table3[[#This Row],[Perc. Abused
(Same-Age Population)]]/(MAX(E:E)-MIN(E:E))</f>
        <v>0.76719428491385333</v>
      </c>
      <c r="H52" s="11" t="s">
        <v>220</v>
      </c>
      <c r="I52" s="11">
        <v>4474</v>
      </c>
      <c r="J52" s="20">
        <f>Table2[[#This Row],[TRUMP VOTES]]/C151</f>
        <v>0.3688071881955321</v>
      </c>
      <c r="K52" s="11">
        <v>1072</v>
      </c>
      <c r="L52" s="20">
        <f>Table2[[#This Row],[BIDEN VOTES]]/C151</f>
        <v>8.8368642321325533E-2</v>
      </c>
      <c r="M52" s="40">
        <f>Table2[[#This Row],[BIDEN VOTES]]/(MAX(K:K)-MIN(K:K))</f>
        <v>4.3622809194971985E-3</v>
      </c>
      <c r="N52" s="40">
        <f>1-(Table2[[#This Row],[NbP]]+Table2[[#This Row],[NbP2]])</f>
        <v>0.54282416948314238</v>
      </c>
    </row>
    <row r="53" spans="1:14" ht="15">
      <c r="A53" s="13" t="s">
        <v>69</v>
      </c>
      <c r="B53" s="14" t="s">
        <v>122</v>
      </c>
      <c r="C53" s="13" t="s">
        <v>1</v>
      </c>
      <c r="D53" s="13" t="s">
        <v>71</v>
      </c>
      <c r="E53" s="26">
        <v>4.8300000000000003E-2</v>
      </c>
      <c r="F53" s="41">
        <f>Table3[[#This Row],[Perc. Abused
(Same-Age Population)]]/(MAX(E:E)-MIN(E:E))</f>
        <v>0.67656534528645462</v>
      </c>
      <c r="H53" s="11" t="s">
        <v>221</v>
      </c>
      <c r="I53" s="11">
        <v>12281</v>
      </c>
      <c r="J53" s="20">
        <f>Table2[[#This Row],[TRUMP VOTES]]/C152</f>
        <v>0.35953510158674395</v>
      </c>
      <c r="K53" s="11">
        <v>2919</v>
      </c>
      <c r="L53" s="20">
        <f>Table2[[#This Row],[BIDEN VOTES]]/C152</f>
        <v>8.5455822940453188E-2</v>
      </c>
      <c r="M53" s="40">
        <f>Table2[[#This Row],[BIDEN VOTES]]/(MAX(K:K)-MIN(K:K))</f>
        <v>1.187826306344433E-2</v>
      </c>
      <c r="N53" s="40">
        <f>1-(Table2[[#This Row],[NbP]]+Table2[[#This Row],[NbP2]])</f>
        <v>0.55500907547280287</v>
      </c>
    </row>
    <row r="54" spans="1:14" ht="15">
      <c r="A54" s="11" t="s">
        <v>69</v>
      </c>
      <c r="B54" s="12" t="s">
        <v>123</v>
      </c>
      <c r="C54" s="11" t="s">
        <v>1</v>
      </c>
      <c r="D54" s="11" t="s">
        <v>71</v>
      </c>
      <c r="E54" s="25">
        <v>3.7969999999999997E-2</v>
      </c>
      <c r="F54" s="41">
        <f>Table3[[#This Row],[Perc. Abused
(Same-Age Population)]]/(MAX(E:E)-MIN(E:E))</f>
        <v>0.5318672082924778</v>
      </c>
      <c r="H54" s="11" t="s">
        <v>222</v>
      </c>
      <c r="I54" s="11">
        <v>21713</v>
      </c>
      <c r="J54" s="20">
        <f>Table2[[#This Row],[TRUMP VOTES]]/C153</f>
        <v>0.40837706182173822</v>
      </c>
      <c r="K54" s="11">
        <v>6948</v>
      </c>
      <c r="L54" s="20">
        <f>Table2[[#This Row],[BIDEN VOTES]]/C153</f>
        <v>0.1306776505106359</v>
      </c>
      <c r="M54" s="40">
        <f>Table2[[#This Row],[BIDEN VOTES]]/(MAX(K:K)-MIN(K:K))</f>
        <v>2.8273440138681469E-2</v>
      </c>
      <c r="N54" s="40">
        <f>1-(Table2[[#This Row],[NbP]]+Table2[[#This Row],[NbP2]])</f>
        <v>0.46094528766762588</v>
      </c>
    </row>
    <row r="55" spans="1:14" ht="15">
      <c r="A55" s="13" t="s">
        <v>69</v>
      </c>
      <c r="B55" s="14" t="s">
        <v>124</v>
      </c>
      <c r="C55" s="13" t="s">
        <v>1</v>
      </c>
      <c r="D55" s="13" t="s">
        <v>71</v>
      </c>
      <c r="E55" s="26">
        <v>5.5849999999999997E-2</v>
      </c>
      <c r="F55" s="41">
        <f>Table3[[#This Row],[Perc. Abused
(Same-Age Population)]]/(MAX(E:E)-MIN(E:E))</f>
        <v>0.7823224541252275</v>
      </c>
      <c r="H55" s="11" t="s">
        <v>225</v>
      </c>
      <c r="I55" s="11">
        <v>8096</v>
      </c>
      <c r="J55" s="20">
        <f>Table2[[#This Row],[TRUMP VOTES]]/C154</f>
        <v>0.33443489755452743</v>
      </c>
      <c r="K55" s="11">
        <v>1307</v>
      </c>
      <c r="L55" s="20">
        <f>Table2[[#This Row],[BIDEN VOTES]]/C154</f>
        <v>5.3990416391275609E-2</v>
      </c>
      <c r="M55" s="40">
        <f>Table2[[#This Row],[BIDEN VOTES]]/(MAX(K:K)-MIN(K:K))</f>
        <v>5.3185645165884686E-3</v>
      </c>
      <c r="N55" s="40">
        <f>1-(Table2[[#This Row],[NbP]]+Table2[[#This Row],[NbP2]])</f>
        <v>0.61157468605419696</v>
      </c>
    </row>
    <row r="56" spans="1:14" ht="15">
      <c r="A56" s="11" t="s">
        <v>69</v>
      </c>
      <c r="B56" s="12" t="s">
        <v>125</v>
      </c>
      <c r="C56" s="11" t="s">
        <v>1</v>
      </c>
      <c r="D56" s="11" t="s">
        <v>71</v>
      </c>
      <c r="E56" s="25">
        <v>4.4490000000000002E-2</v>
      </c>
      <c r="F56" s="41">
        <f>Table3[[#This Row],[Perc. Abused
(Same-Age Population)]]/(MAX(E:E)-MIN(E:E))</f>
        <v>0.62319652612410692</v>
      </c>
      <c r="H56" s="11" t="s">
        <v>226</v>
      </c>
      <c r="I56" s="11">
        <v>23943</v>
      </c>
      <c r="J56" s="20">
        <f>Table2[[#This Row],[TRUMP VOTES]]/C155</f>
        <v>0.24472086510353849</v>
      </c>
      <c r="K56" s="11">
        <v>18390</v>
      </c>
      <c r="L56" s="20">
        <f>Table2[[#This Row],[BIDEN VOTES]]/C155</f>
        <v>0.18796377685561846</v>
      </c>
      <c r="M56" s="40">
        <f>Table2[[#This Row],[BIDEN VOTES]]/(MAX(K:K)-MIN(K:K))</f>
        <v>7.4834278087270029E-2</v>
      </c>
      <c r="N56" s="40">
        <f>1-(Table2[[#This Row],[NbP]]+Table2[[#This Row],[NbP2]])</f>
        <v>0.56731535804084299</v>
      </c>
    </row>
    <row r="57" spans="1:14" ht="15">
      <c r="A57" s="13" t="s">
        <v>69</v>
      </c>
      <c r="B57" s="14" t="s">
        <v>126</v>
      </c>
      <c r="C57" s="13" t="s">
        <v>1</v>
      </c>
      <c r="D57" s="13" t="s">
        <v>71</v>
      </c>
      <c r="E57" s="26">
        <v>5.4330000000000003E-2</v>
      </c>
      <c r="F57" s="41">
        <f>Table3[[#This Row],[Perc. Abused
(Same-Age Population)]]/(MAX(E:E)-MIN(E:E))</f>
        <v>0.76103095671662691</v>
      </c>
      <c r="H57" s="11" t="s">
        <v>227</v>
      </c>
      <c r="I57" s="11">
        <v>9911</v>
      </c>
      <c r="J57" s="20">
        <f>Table2[[#This Row],[TRUMP VOTES]]/C156</f>
        <v>0.34606655260309366</v>
      </c>
      <c r="K57" s="11">
        <v>3177</v>
      </c>
      <c r="L57" s="20">
        <f>Table2[[#This Row],[BIDEN VOTES]]/C156</f>
        <v>0.11093264429623939</v>
      </c>
      <c r="M57" s="40">
        <f>Table2[[#This Row],[BIDEN VOTES]]/(MAX(K:K)-MIN(K:K))</f>
        <v>1.2928140374293469E-2</v>
      </c>
      <c r="N57" s="40">
        <f>1-(Table2[[#This Row],[NbP]]+Table2[[#This Row],[NbP2]])</f>
        <v>0.54300080310066701</v>
      </c>
    </row>
    <row r="58" spans="1:14" ht="15">
      <c r="A58" s="11" t="s">
        <v>69</v>
      </c>
      <c r="B58" s="12" t="s">
        <v>127</v>
      </c>
      <c r="C58" s="11" t="s">
        <v>1</v>
      </c>
      <c r="D58" s="11" t="s">
        <v>71</v>
      </c>
      <c r="E58" s="25">
        <v>5.0180000000000002E-2</v>
      </c>
      <c r="F58" s="41">
        <f>Table3[[#This Row],[Perc. Abused
(Same-Age Population)]]/(MAX(E:E)-MIN(E:E))</f>
        <v>0.70289956576551327</v>
      </c>
      <c r="H58" s="11" t="s">
        <v>228</v>
      </c>
      <c r="I58" s="11">
        <v>11043</v>
      </c>
      <c r="J58" s="20">
        <f>Table2[[#This Row],[TRUMP VOTES]]/C157</f>
        <v>0.32760768956924174</v>
      </c>
      <c r="K58" s="11">
        <v>3605</v>
      </c>
      <c r="L58" s="20">
        <f>Table2[[#This Row],[BIDEN VOTES]]/C157</f>
        <v>0.10694790554171117</v>
      </c>
      <c r="M58" s="40">
        <f>Table2[[#This Row],[BIDEN VOTES]]/(MAX(K:K)-MIN(K:K))</f>
        <v>1.4669797308570336E-2</v>
      </c>
      <c r="N58" s="40">
        <f>1-(Table2[[#This Row],[NbP]]+Table2[[#This Row],[NbP2]])</f>
        <v>0.56544440488904701</v>
      </c>
    </row>
    <row r="59" spans="1:14" ht="15">
      <c r="A59" s="13" t="s">
        <v>69</v>
      </c>
      <c r="B59" s="14" t="s">
        <v>128</v>
      </c>
      <c r="C59" s="13" t="s">
        <v>1</v>
      </c>
      <c r="D59" s="13" t="s">
        <v>71</v>
      </c>
      <c r="E59" s="26">
        <v>4.1709999999999997E-2</v>
      </c>
      <c r="F59" s="41">
        <f>Table3[[#This Row],[Perc. Abused
(Same-Age Population)]]/(MAX(E:E)-MIN(E:E))</f>
        <v>0.58425549796890308</v>
      </c>
      <c r="H59" s="11" t="s">
        <v>229</v>
      </c>
      <c r="I59" s="11">
        <v>31464</v>
      </c>
      <c r="J59" s="20">
        <f>Table2[[#This Row],[TRUMP VOTES]]/C158</f>
        <v>0.33254769328330602</v>
      </c>
      <c r="K59" s="11">
        <v>14418</v>
      </c>
      <c r="L59" s="20">
        <f>Table2[[#This Row],[BIDEN VOTES]]/C158</f>
        <v>0.15238598530888336</v>
      </c>
      <c r="M59" s="40">
        <f>Table2[[#This Row],[BIDEN VOTES]]/(MAX(K:K)-MIN(K:K))</f>
        <v>5.8671050650476314E-2</v>
      </c>
      <c r="N59" s="40">
        <f>1-(Table2[[#This Row],[NbP]]+Table2[[#This Row],[NbP2]])</f>
        <v>0.51506632140781061</v>
      </c>
    </row>
    <row r="60" spans="1:14" ht="15">
      <c r="A60" s="11" t="s">
        <v>69</v>
      </c>
      <c r="B60" s="12" t="s">
        <v>129</v>
      </c>
      <c r="C60" s="11" t="s">
        <v>1</v>
      </c>
      <c r="D60" s="11" t="s">
        <v>71</v>
      </c>
      <c r="E60" s="25">
        <v>7.281E-2</v>
      </c>
      <c r="F60" s="41">
        <f>Table3[[#This Row],[Perc. Abused
(Same-Age Population)]]/(MAX(E:E)-MIN(E:E))</f>
        <v>1.0198907410001399</v>
      </c>
      <c r="H60" s="11" t="s">
        <v>223</v>
      </c>
      <c r="I60" s="11">
        <v>18198</v>
      </c>
      <c r="J60" s="20">
        <f>Table2[[#This Row],[TRUMP VOTES]]/C159</f>
        <v>0.3408375786634702</v>
      </c>
      <c r="K60" s="11">
        <v>4361</v>
      </c>
      <c r="L60" s="20">
        <f>Table2[[#This Row],[BIDEN VOTES]]/C159</f>
        <v>8.1678903206472878E-2</v>
      </c>
      <c r="M60" s="40">
        <f>Table2[[#This Row],[BIDEN VOTES]]/(MAX(K:K)-MIN(K:K))</f>
        <v>1.7746181986872465E-2</v>
      </c>
      <c r="N60" s="40">
        <f>1-(Table2[[#This Row],[NbP]]+Table2[[#This Row],[NbP2]])</f>
        <v>0.57748351813005694</v>
      </c>
    </row>
    <row r="61" spans="1:14" ht="15">
      <c r="A61" s="13" t="s">
        <v>69</v>
      </c>
      <c r="B61" s="14" t="s">
        <v>130</v>
      </c>
      <c r="C61" s="13" t="s">
        <v>1</v>
      </c>
      <c r="D61" s="13" t="s">
        <v>71</v>
      </c>
      <c r="E61" s="26">
        <v>4.9779999999999998E-2</v>
      </c>
      <c r="F61" s="41">
        <f>Table3[[#This Row],[Perc. Abused
(Same-Age Population)]]/(MAX(E:E)-MIN(E:E))</f>
        <v>0.69729654013167097</v>
      </c>
      <c r="H61" s="11" t="s">
        <v>224</v>
      </c>
      <c r="I61" s="11">
        <v>9093</v>
      </c>
      <c r="J61" s="20">
        <f>Table2[[#This Row],[TRUMP VOTES]]/C160</f>
        <v>0.35225071666537539</v>
      </c>
      <c r="K61" s="11">
        <v>1943</v>
      </c>
      <c r="L61" s="20">
        <f>Table2[[#This Row],[BIDEN VOTES]]/C160</f>
        <v>7.5269233749128375E-2</v>
      </c>
      <c r="M61" s="40">
        <f>Table2[[#This Row],[BIDEN VOTES]]/(MAX(K:K)-MIN(K:K))</f>
        <v>7.9066341665886726E-3</v>
      </c>
      <c r="N61" s="40">
        <f>1-(Table2[[#This Row],[NbP]]+Table2[[#This Row],[NbP2]])</f>
        <v>0.57248004958549625</v>
      </c>
    </row>
    <row r="62" spans="1:14" ht="15">
      <c r="A62" s="11" t="s">
        <v>69</v>
      </c>
      <c r="B62" s="12" t="s">
        <v>131</v>
      </c>
      <c r="C62" s="11" t="s">
        <v>1</v>
      </c>
      <c r="D62" s="11" t="s">
        <v>71</v>
      </c>
      <c r="E62" s="25">
        <v>6.9290000000000004E-2</v>
      </c>
      <c r="F62" s="41">
        <f>Table3[[#This Row],[Perc. Abused
(Same-Age Population)]]/(MAX(E:E)-MIN(E:E))</f>
        <v>0.97058411542232803</v>
      </c>
      <c r="H62" s="11" t="s">
        <v>230</v>
      </c>
      <c r="I62" s="11">
        <v>4467</v>
      </c>
      <c r="J62" s="20">
        <f>Table2[[#This Row],[TRUMP VOTES]]/C161</f>
        <v>0.36504045109095368</v>
      </c>
      <c r="K62" s="11">
        <v>1008</v>
      </c>
      <c r="L62" s="20">
        <f>Table2[[#This Row],[BIDEN VOTES]]/C161</f>
        <v>8.2373130669281688E-2</v>
      </c>
      <c r="M62" s="40">
        <f>Table2[[#This Row],[BIDEN VOTES]]/(MAX(K:K)-MIN(K:K))</f>
        <v>4.1018462377361712E-3</v>
      </c>
      <c r="N62" s="40">
        <f>1-(Table2[[#This Row],[NbP]]+Table2[[#This Row],[NbP2]])</f>
        <v>0.55258641823976462</v>
      </c>
    </row>
    <row r="63" spans="1:14" ht="15">
      <c r="A63" s="13" t="s">
        <v>69</v>
      </c>
      <c r="B63" s="14" t="s">
        <v>132</v>
      </c>
      <c r="C63" s="13" t="s">
        <v>1</v>
      </c>
      <c r="D63" s="13" t="s">
        <v>71</v>
      </c>
      <c r="E63" s="26">
        <v>5.9220000000000002E-2</v>
      </c>
      <c r="F63" s="41">
        <f>Table3[[#This Row],[Perc. Abused
(Same-Age Population)]]/(MAX(E:E)-MIN(E:E))</f>
        <v>0.82952794509034866</v>
      </c>
      <c r="H63" s="11" t="s">
        <v>231</v>
      </c>
      <c r="I63" s="11">
        <v>16783</v>
      </c>
      <c r="J63" s="20">
        <f>Table2[[#This Row],[TRUMP VOTES]]/C162</f>
        <v>0.36160127550470772</v>
      </c>
      <c r="K63" s="11">
        <v>3764</v>
      </c>
      <c r="L63" s="20">
        <f>Table2[[#This Row],[BIDEN VOTES]]/C162</f>
        <v>8.1097968241656437E-2</v>
      </c>
      <c r="M63" s="40">
        <f>Table2[[#This Row],[BIDEN VOTES]]/(MAX(K:K)-MIN(K:K))</f>
        <v>1.5316814721070387E-2</v>
      </c>
      <c r="N63" s="40">
        <f>1-(Table2[[#This Row],[NbP]]+Table2[[#This Row],[NbP2]])</f>
        <v>0.55730075625363584</v>
      </c>
    </row>
    <row r="64" spans="1:14" ht="15">
      <c r="A64" s="11" t="s">
        <v>69</v>
      </c>
      <c r="B64" s="12" t="s">
        <v>133</v>
      </c>
      <c r="C64" s="11" t="s">
        <v>1</v>
      </c>
      <c r="D64" s="11" t="s">
        <v>71</v>
      </c>
      <c r="E64" s="25">
        <v>4.3180000000000003E-2</v>
      </c>
      <c r="F64" s="41">
        <f>Table3[[#This Row],[Perc. Abused
(Same-Age Population)]]/(MAX(E:E)-MIN(E:E))</f>
        <v>0.60484661717327348</v>
      </c>
      <c r="H64" s="11" t="s">
        <v>232</v>
      </c>
      <c r="I64" s="11">
        <v>42187</v>
      </c>
      <c r="J64" s="20">
        <f>Table2[[#This Row],[TRUMP VOTES]]/C163</f>
        <v>0.20579827505463627</v>
      </c>
      <c r="K64" s="11">
        <v>32472</v>
      </c>
      <c r="L64" s="20">
        <f>Table2[[#This Row],[BIDEN VOTES]]/C163</f>
        <v>0.1584061817046519</v>
      </c>
      <c r="M64" s="40">
        <f>Table2[[#This Row],[BIDEN VOTES]]/(MAX(K:K)-MIN(K:K))</f>
        <v>0.13213804665850096</v>
      </c>
      <c r="N64" s="40">
        <f>1-(Table2[[#This Row],[NbP]]+Table2[[#This Row],[NbP2]])</f>
        <v>0.63579554324071186</v>
      </c>
    </row>
    <row r="65" spans="1:14" ht="15">
      <c r="A65" s="13" t="s">
        <v>69</v>
      </c>
      <c r="B65" s="14" t="s">
        <v>134</v>
      </c>
      <c r="C65" s="13" t="s">
        <v>1</v>
      </c>
      <c r="D65" s="13" t="s">
        <v>71</v>
      </c>
      <c r="E65" s="26">
        <v>2.6509999999999999E-2</v>
      </c>
      <c r="F65" s="41">
        <f>Table3[[#This Row],[Perc. Abused
(Same-Age Population)]]/(MAX(E:E)-MIN(E:E))</f>
        <v>0.37134052388289668</v>
      </c>
      <c r="H65" s="11" t="s">
        <v>233</v>
      </c>
      <c r="I65" s="11">
        <v>2888</v>
      </c>
      <c r="J65" s="20">
        <f>Table2[[#This Row],[TRUMP VOTES]]/C164</f>
        <v>0.45153220762976859</v>
      </c>
      <c r="K65" s="11">
        <v>573</v>
      </c>
      <c r="L65" s="20">
        <f>Table2[[#This Row],[BIDEN VOTES]]/C164</f>
        <v>8.9587242026266417E-2</v>
      </c>
      <c r="M65" s="40">
        <f>Table2[[#This Row],[BIDEN VOTES]]/(MAX(K:K)-MIN(K:K))</f>
        <v>2.3317042601416929E-3</v>
      </c>
      <c r="N65" s="40">
        <f>1-(Table2[[#This Row],[NbP]]+Table2[[#This Row],[NbP2]])</f>
        <v>0.45888055034396502</v>
      </c>
    </row>
    <row r="66" spans="1:14" ht="15">
      <c r="A66" s="11" t="s">
        <v>69</v>
      </c>
      <c r="B66" s="12" t="s">
        <v>135</v>
      </c>
      <c r="C66" s="11" t="s">
        <v>1</v>
      </c>
      <c r="D66" s="11" t="s">
        <v>71</v>
      </c>
      <c r="E66" s="25">
        <v>4.7820000000000001E-2</v>
      </c>
      <c r="F66" s="41">
        <f>Table3[[#This Row],[Perc. Abused
(Same-Age Population)]]/(MAX(E:E)-MIN(E:E))</f>
        <v>0.66984171452584385</v>
      </c>
      <c r="H66" s="11" t="s">
        <v>234</v>
      </c>
      <c r="I66" s="11">
        <v>6930</v>
      </c>
      <c r="J66" s="20">
        <f>Table2[[#This Row],[TRUMP VOTES]]/C165</f>
        <v>0.32175689479060265</v>
      </c>
      <c r="K66" s="11">
        <v>1167</v>
      </c>
      <c r="L66" s="20">
        <f>Table2[[#This Row],[BIDEN VOTES]]/C165</f>
        <v>5.4183303927941316E-2</v>
      </c>
      <c r="M66" s="40">
        <f>Table2[[#This Row],[BIDEN VOTES]]/(MAX(K:K)-MIN(K:K))</f>
        <v>4.7488636502362224E-3</v>
      </c>
      <c r="N66" s="40">
        <f>1-(Table2[[#This Row],[NbP]]+Table2[[#This Row],[NbP2]])</f>
        <v>0.62405980128145599</v>
      </c>
    </row>
    <row r="67" spans="1:14" ht="15">
      <c r="A67" s="13" t="s">
        <v>69</v>
      </c>
      <c r="B67" s="14" t="s">
        <v>136</v>
      </c>
      <c r="C67" s="13" t="s">
        <v>1</v>
      </c>
      <c r="D67" s="13" t="s">
        <v>71</v>
      </c>
      <c r="E67" s="26">
        <v>4.5629999999999997E-2</v>
      </c>
      <c r="F67" s="41">
        <f>Table3[[#This Row],[Perc. Abused
(Same-Age Population)]]/(MAX(E:E)-MIN(E:E))</f>
        <v>0.63916514918055733</v>
      </c>
      <c r="H67" s="11" t="s">
        <v>235</v>
      </c>
      <c r="I67" s="11">
        <v>10790</v>
      </c>
      <c r="J67" s="20">
        <f>Table2[[#This Row],[TRUMP VOTES]]/C166</f>
        <v>0.35560096233068583</v>
      </c>
      <c r="K67" s="11">
        <v>2589</v>
      </c>
      <c r="L67" s="20">
        <f>Table2[[#This Row],[BIDEN VOTES]]/C166</f>
        <v>8.5324457041162705E-2</v>
      </c>
      <c r="M67" s="40">
        <f>Table2[[#This Row],[BIDEN VOTES]]/(MAX(K:K)-MIN(K:K))</f>
        <v>1.0535396735614036E-2</v>
      </c>
      <c r="N67" s="40">
        <f>1-(Table2[[#This Row],[NbP]]+Table2[[#This Row],[NbP2]])</f>
        <v>0.55907458062815141</v>
      </c>
    </row>
    <row r="68" spans="1:14" ht="15">
      <c r="A68" s="11" t="s">
        <v>69</v>
      </c>
      <c r="B68" s="12" t="s">
        <v>137</v>
      </c>
      <c r="C68" s="11" t="s">
        <v>1</v>
      </c>
      <c r="D68" s="11" t="s">
        <v>71</v>
      </c>
      <c r="E68" s="25">
        <v>5.4039999999999998E-2</v>
      </c>
      <c r="F68" s="41">
        <f>Table3[[#This Row],[Perc. Abused
(Same-Age Population)]]/(MAX(E:E)-MIN(E:E))</f>
        <v>0.75696876313209116</v>
      </c>
      <c r="H68" s="11" t="s">
        <v>236</v>
      </c>
      <c r="I68" s="11">
        <v>7918</v>
      </c>
      <c r="J68" s="20">
        <f>Table2[[#This Row],[TRUMP VOTES]]/C167</f>
        <v>0.35713319200757748</v>
      </c>
      <c r="K68" s="11">
        <v>2033</v>
      </c>
      <c r="L68" s="20">
        <f>Table2[[#This Row],[BIDEN VOTES]]/C167</f>
        <v>9.1696360110053679E-2</v>
      </c>
      <c r="M68" s="40">
        <f>Table2[[#This Row],[BIDEN VOTES]]/(MAX(K:K)-MIN(K:K))</f>
        <v>8.2728704378151156E-3</v>
      </c>
      <c r="N68" s="40">
        <f>1-(Table2[[#This Row],[NbP]]+Table2[[#This Row],[NbP2]])</f>
        <v>0.55117044788236891</v>
      </c>
    </row>
    <row r="69" spans="1:14" ht="15">
      <c r="A69" s="13" t="s">
        <v>69</v>
      </c>
      <c r="B69" s="14" t="s">
        <v>138</v>
      </c>
      <c r="C69" s="13" t="s">
        <v>1</v>
      </c>
      <c r="D69" s="13" t="s">
        <v>71</v>
      </c>
      <c r="E69" s="26">
        <v>4.6249999999999999E-2</v>
      </c>
      <c r="F69" s="41">
        <f>Table3[[#This Row],[Perc. Abused
(Same-Age Population)]]/(MAX(E:E)-MIN(E:E))</f>
        <v>0.64784983891301295</v>
      </c>
      <c r="H69" s="11" t="s">
        <v>237</v>
      </c>
      <c r="I69" s="11">
        <v>2775</v>
      </c>
      <c r="J69" s="20">
        <f>Table2[[#This Row],[TRUMP VOTES]]/C168</f>
        <v>0.34600997506234416</v>
      </c>
      <c r="K69" s="11">
        <v>615</v>
      </c>
      <c r="L69" s="20">
        <f>Table2[[#This Row],[BIDEN VOTES]]/C168</f>
        <v>7.6683291770573564E-2</v>
      </c>
      <c r="M69" s="40">
        <f>Table2[[#This Row],[BIDEN VOTES]]/(MAX(K:K)-MIN(K:K))</f>
        <v>2.5026145200473665E-3</v>
      </c>
      <c r="N69" s="40">
        <f>1-(Table2[[#This Row],[NbP]]+Table2[[#This Row],[NbP2]])</f>
        <v>0.57730673316708225</v>
      </c>
    </row>
    <row r="70" spans="1:14" ht="15">
      <c r="A70" s="11" t="s">
        <v>69</v>
      </c>
      <c r="B70" s="12" t="s">
        <v>139</v>
      </c>
      <c r="C70" s="11" t="s">
        <v>1</v>
      </c>
      <c r="D70" s="11" t="s">
        <v>71</v>
      </c>
      <c r="E70" s="25">
        <v>4.5240000000000002E-2</v>
      </c>
      <c r="F70" s="41">
        <f>Table3[[#This Row],[Perc. Abused
(Same-Age Population)]]/(MAX(E:E)-MIN(E:E))</f>
        <v>0.63370219918756121</v>
      </c>
      <c r="H70" s="11" t="s">
        <v>238</v>
      </c>
      <c r="I70" s="11">
        <v>2381</v>
      </c>
      <c r="J70" s="20">
        <f>Table2[[#This Row],[TRUMP VOTES]]/C169</f>
        <v>0.46981057616416733</v>
      </c>
      <c r="K70" s="11">
        <v>525</v>
      </c>
      <c r="L70" s="20">
        <f>Table2[[#This Row],[BIDEN VOTES]]/C169</f>
        <v>0.10359116022099447</v>
      </c>
      <c r="M70" s="40">
        <f>Table2[[#This Row],[BIDEN VOTES]]/(MAX(K:K)-MIN(K:K))</f>
        <v>2.1363782488209226E-3</v>
      </c>
      <c r="N70" s="40">
        <f>1-(Table2[[#This Row],[NbP]]+Table2[[#This Row],[NbP2]])</f>
        <v>0.42659826361483821</v>
      </c>
    </row>
    <row r="71" spans="1:14" ht="15">
      <c r="A71" s="13" t="s">
        <v>69</v>
      </c>
      <c r="B71" s="14" t="s">
        <v>140</v>
      </c>
      <c r="C71" s="13" t="s">
        <v>1</v>
      </c>
      <c r="D71" s="13" t="s">
        <v>71</v>
      </c>
      <c r="E71" s="26">
        <v>6.0260000000000001E-2</v>
      </c>
      <c r="F71" s="41">
        <f>Table3[[#This Row],[Perc. Abused
(Same-Age Population)]]/(MAX(E:E)-MIN(E:E))</f>
        <v>0.84409581173833859</v>
      </c>
      <c r="H71" s="11" t="s">
        <v>239</v>
      </c>
      <c r="I71" s="11">
        <v>6792</v>
      </c>
      <c r="J71" s="20">
        <f>Table2[[#This Row],[TRUMP VOTES]]/C170</f>
        <v>0.40411733206402095</v>
      </c>
      <c r="K71" s="11">
        <v>1492</v>
      </c>
      <c r="L71" s="20">
        <f>Table2[[#This Row],[BIDEN VOTES]]/C170</f>
        <v>8.8772535253168319E-2</v>
      </c>
      <c r="M71" s="40">
        <f>Table2[[#This Row],[BIDEN VOTES]]/(MAX(K:K)-MIN(K:K))</f>
        <v>6.0713835185539364E-3</v>
      </c>
      <c r="N71" s="40">
        <f>1-(Table2[[#This Row],[NbP]]+Table2[[#This Row],[NbP2]])</f>
        <v>0.50711013268281069</v>
      </c>
    </row>
    <row r="72" spans="1:14" ht="15">
      <c r="A72" s="11" t="s">
        <v>69</v>
      </c>
      <c r="B72" s="12" t="s">
        <v>141</v>
      </c>
      <c r="C72" s="11" t="s">
        <v>1</v>
      </c>
      <c r="D72" s="11" t="s">
        <v>71</v>
      </c>
      <c r="E72" s="25">
        <v>5.6009999999999997E-2</v>
      </c>
      <c r="F72" s="41">
        <f>Table3[[#This Row],[Perc. Abused
(Same-Age Population)]]/(MAX(E:E)-MIN(E:E))</f>
        <v>0.78456366437876435</v>
      </c>
      <c r="H72" s="11" t="s">
        <v>240</v>
      </c>
      <c r="I72" s="11">
        <v>23759</v>
      </c>
      <c r="J72" s="20">
        <f>Table2[[#This Row],[TRUMP VOTES]]/C171</f>
        <v>0.3025005729418655</v>
      </c>
      <c r="K72" s="11">
        <v>9185</v>
      </c>
      <c r="L72" s="20">
        <f>Table2[[#This Row],[BIDEN VOTES]]/C171</f>
        <v>0.11694380076901531</v>
      </c>
      <c r="M72" s="40">
        <f>Table2[[#This Row],[BIDEN VOTES]]/(MAX(K:K)-MIN(K:K))</f>
        <v>3.7376446124609858E-2</v>
      </c>
      <c r="N72" s="40">
        <f>1-(Table2[[#This Row],[NbP]]+Table2[[#This Row],[NbP2]])</f>
        <v>0.58055562628911916</v>
      </c>
    </row>
    <row r="73" spans="1:14" ht="15">
      <c r="A73" s="13" t="s">
        <v>69</v>
      </c>
      <c r="B73" s="14" t="s">
        <v>142</v>
      </c>
      <c r="C73" s="13" t="s">
        <v>1</v>
      </c>
      <c r="D73" s="13" t="s">
        <v>71</v>
      </c>
      <c r="E73" s="26">
        <v>5.3809999999999997E-2</v>
      </c>
      <c r="F73" s="41">
        <f>Table3[[#This Row],[Perc. Abused
(Same-Age Population)]]/(MAX(E:E)-MIN(E:E))</f>
        <v>0.75374702339263189</v>
      </c>
      <c r="H73" s="11" t="s">
        <v>241</v>
      </c>
      <c r="I73" s="11">
        <v>11050</v>
      </c>
      <c r="J73" s="20">
        <f>Table2[[#This Row],[TRUMP VOTES]]/C172</f>
        <v>0.33521417303725276</v>
      </c>
      <c r="K73" s="11">
        <v>2369</v>
      </c>
      <c r="L73" s="20">
        <f>Table2[[#This Row],[BIDEN VOTES]]/C172</f>
        <v>7.1866278364276184E-2</v>
      </c>
      <c r="M73" s="40">
        <f>Table2[[#This Row],[BIDEN VOTES]]/(MAX(K:K)-MIN(K:K))</f>
        <v>9.6401525170605063E-3</v>
      </c>
      <c r="N73" s="40">
        <f>1-(Table2[[#This Row],[NbP]]+Table2[[#This Row],[NbP2]])</f>
        <v>0.59291954859847107</v>
      </c>
    </row>
    <row r="74" spans="1:14" ht="15">
      <c r="A74" s="11" t="s">
        <v>69</v>
      </c>
      <c r="B74" s="12" t="s">
        <v>143</v>
      </c>
      <c r="C74" s="11" t="s">
        <v>1</v>
      </c>
      <c r="D74" s="11" t="s">
        <v>71</v>
      </c>
      <c r="E74" s="25">
        <v>6.0319999999999999E-2</v>
      </c>
      <c r="F74" s="41">
        <f>Table3[[#This Row],[Perc. Abused
(Same-Age Population)]]/(MAX(E:E)-MIN(E:E))</f>
        <v>0.84493626558341495</v>
      </c>
      <c r="H74" s="11" t="s">
        <v>242</v>
      </c>
      <c r="I74" s="11">
        <v>19230</v>
      </c>
      <c r="J74" s="20">
        <f>Table2[[#This Row],[TRUMP VOTES]]/C173</f>
        <v>0.36057827529954434</v>
      </c>
      <c r="K74" s="11">
        <v>6043</v>
      </c>
      <c r="L74" s="20">
        <f>Table2[[#This Row],[BIDEN VOTES]]/C173</f>
        <v>0.11331120736532223</v>
      </c>
      <c r="M74" s="40">
        <f>Table2[[#This Row],[BIDEN VOTES]]/(MAX(K:K)-MIN(K:K))</f>
        <v>2.459073096690445E-2</v>
      </c>
      <c r="N74" s="40">
        <f>1-(Table2[[#This Row],[NbP]]+Table2[[#This Row],[NbP2]])</f>
        <v>0.52611051733513348</v>
      </c>
    </row>
    <row r="75" spans="1:14" ht="15">
      <c r="A75" s="13" t="s">
        <v>69</v>
      </c>
      <c r="B75" s="14" t="s">
        <v>144</v>
      </c>
      <c r="C75" s="13" t="s">
        <v>1</v>
      </c>
      <c r="D75" s="13" t="s">
        <v>71</v>
      </c>
      <c r="E75" s="26">
        <v>4.0289999999999999E-2</v>
      </c>
      <c r="F75" s="41">
        <f>Table3[[#This Row],[Perc. Abused
(Same-Age Population)]]/(MAX(E:E)-MIN(E:E))</f>
        <v>0.56436475696876309</v>
      </c>
      <c r="H75" s="11" t="s">
        <v>243</v>
      </c>
      <c r="I75" s="11">
        <v>24536</v>
      </c>
      <c r="J75" s="20">
        <f>Table2[[#This Row],[TRUMP VOTES]]/C174</f>
        <v>0.34566509819390834</v>
      </c>
      <c r="K75" s="11">
        <v>8692</v>
      </c>
      <c r="L75" s="20">
        <f>Table2[[#This Row],[BIDEN VOTES]]/C174</f>
        <v>0.1224535797807895</v>
      </c>
      <c r="M75" s="40">
        <f>Table2[[#This Row],[BIDEN VOTES]]/(MAX(K:K)-MIN(K:K))</f>
        <v>3.5370285216669448E-2</v>
      </c>
      <c r="N75" s="40">
        <f>1-(Table2[[#This Row],[NbP]]+Table2[[#This Row],[NbP2]])</f>
        <v>0.53188132202530214</v>
      </c>
    </row>
    <row r="76" spans="1:14" ht="15">
      <c r="A76" s="11" t="s">
        <v>69</v>
      </c>
      <c r="B76" s="12" t="s">
        <v>145</v>
      </c>
      <c r="C76" s="11" t="s">
        <v>1</v>
      </c>
      <c r="D76" s="11" t="s">
        <v>71</v>
      </c>
      <c r="E76" s="25">
        <v>3.2750000000000001E-2</v>
      </c>
      <c r="F76" s="41">
        <f>Table3[[#This Row],[Perc. Abused
(Same-Age Population)]]/(MAX(E:E)-MIN(E:E))</f>
        <v>0.45874772377083622</v>
      </c>
      <c r="H76" s="11" t="s">
        <v>244</v>
      </c>
      <c r="I76" s="11">
        <v>81480</v>
      </c>
      <c r="J76" s="20">
        <f>Table2[[#This Row],[TRUMP VOTES]]/C175</f>
        <v>0.25137363908693494</v>
      </c>
      <c r="K76" s="11">
        <v>59341</v>
      </c>
      <c r="L76" s="20">
        <f>Table2[[#This Row],[BIDEN VOTES]]/C175</f>
        <v>0.1830726941219662</v>
      </c>
      <c r="M76" s="40">
        <f>Table2[[#This Row],[BIDEN VOTES]]/(MAX(K:K)-MIN(K:K))</f>
        <v>0.24147585078720452</v>
      </c>
      <c r="N76" s="40">
        <f>1-(Table2[[#This Row],[NbP]]+Table2[[#This Row],[NbP2]])</f>
        <v>0.56555366679109886</v>
      </c>
    </row>
    <row r="77" spans="1:14" ht="15">
      <c r="A77" s="13" t="s">
        <v>69</v>
      </c>
      <c r="B77" s="14" t="s">
        <v>146</v>
      </c>
      <c r="C77" s="13" t="s">
        <v>1</v>
      </c>
      <c r="D77" s="13" t="s">
        <v>71</v>
      </c>
      <c r="E77" s="26">
        <v>5.9569999999999998E-2</v>
      </c>
      <c r="F77" s="41">
        <f>Table3[[#This Row],[Perc. Abused
(Same-Age Population)]]/(MAX(E:E)-MIN(E:E))</f>
        <v>0.83443059251996066</v>
      </c>
      <c r="H77" s="11" t="s">
        <v>245</v>
      </c>
      <c r="I77" s="11">
        <v>8004</v>
      </c>
      <c r="J77" s="20">
        <f>Table2[[#This Row],[TRUMP VOTES]]/C176</f>
        <v>0.36348773841961851</v>
      </c>
      <c r="K77" s="11">
        <v>986</v>
      </c>
      <c r="L77" s="20">
        <f>Table2[[#This Row],[BIDEN VOTES]]/C176</f>
        <v>4.4777475022706632E-2</v>
      </c>
      <c r="M77" s="40">
        <f>Table2[[#This Row],[BIDEN VOTES]]/(MAX(K:K)-MIN(K:K))</f>
        <v>4.0123218158808188E-3</v>
      </c>
      <c r="N77" s="40">
        <f>1-(Table2[[#This Row],[NbP]]+Table2[[#This Row],[NbP2]])</f>
        <v>0.59173478655767486</v>
      </c>
    </row>
    <row r="78" spans="1:14" ht="15">
      <c r="A78" s="11" t="s">
        <v>69</v>
      </c>
      <c r="B78" s="12" t="s">
        <v>147</v>
      </c>
      <c r="C78" s="11" t="s">
        <v>1</v>
      </c>
      <c r="D78" s="11" t="s">
        <v>71</v>
      </c>
      <c r="E78" s="25">
        <v>6.5360000000000001E-2</v>
      </c>
      <c r="F78" s="41">
        <f>Table3[[#This Row],[Perc. Abused
(Same-Age Population)]]/(MAX(E:E)-MIN(E:E))</f>
        <v>0.91553438856982761</v>
      </c>
      <c r="H78" s="11" t="s">
        <v>246</v>
      </c>
      <c r="I78" s="11">
        <v>5855</v>
      </c>
      <c r="J78" s="20">
        <f>Table2[[#This Row],[TRUMP VOTES]]/C177</f>
        <v>0.39200589180503481</v>
      </c>
      <c r="K78" s="11">
        <v>1298</v>
      </c>
      <c r="L78" s="20">
        <f>Table2[[#This Row],[BIDEN VOTES]]/C177</f>
        <v>8.6904124263524368E-2</v>
      </c>
      <c r="M78" s="40">
        <f>Table2[[#This Row],[BIDEN VOTES]]/(MAX(K:K)-MIN(K:K))</f>
        <v>5.2819408894658236E-3</v>
      </c>
      <c r="N78" s="40">
        <f>1-(Table2[[#This Row],[NbP]]+Table2[[#This Row],[NbP2]])</f>
        <v>0.52108998393144079</v>
      </c>
    </row>
    <row r="79" spans="1:14" ht="15">
      <c r="A79" s="13" t="s">
        <v>69</v>
      </c>
      <c r="B79" s="14" t="s">
        <v>148</v>
      </c>
      <c r="C79" s="13" t="s">
        <v>1</v>
      </c>
      <c r="D79" s="13" t="s">
        <v>71</v>
      </c>
      <c r="E79" s="26">
        <v>5.5480000000000002E-2</v>
      </c>
      <c r="F79" s="41">
        <f>Table3[[#This Row],[Perc. Abused
(Same-Age Population)]]/(MAX(E:E)-MIN(E:E))</f>
        <v>0.77713965541392349</v>
      </c>
      <c r="H79" s="11" t="s">
        <v>247</v>
      </c>
      <c r="I79" s="11">
        <v>33783</v>
      </c>
      <c r="J79" s="20">
        <f>Table2[[#This Row],[TRUMP VOTES]]/C178</f>
        <v>0.3446998683767486</v>
      </c>
      <c r="K79" s="11">
        <v>8721</v>
      </c>
      <c r="L79" s="20">
        <f>Table2[[#This Row],[BIDEN VOTES]]/C178</f>
        <v>8.8983439958370325E-2</v>
      </c>
      <c r="M79" s="40">
        <f>Table2[[#This Row],[BIDEN VOTES]]/(MAX(K:K)-MIN(K:K))</f>
        <v>3.5488294681842412E-2</v>
      </c>
      <c r="N79" s="40">
        <f>1-(Table2[[#This Row],[NbP]]+Table2[[#This Row],[NbP2]])</f>
        <v>0.56631669166488108</v>
      </c>
    </row>
    <row r="80" spans="1:14" ht="15">
      <c r="A80" s="11" t="s">
        <v>69</v>
      </c>
      <c r="B80" s="12" t="s">
        <v>149</v>
      </c>
      <c r="C80" s="11" t="s">
        <v>1</v>
      </c>
      <c r="D80" s="11" t="s">
        <v>71</v>
      </c>
      <c r="E80" s="25">
        <v>4.0980000000000003E-2</v>
      </c>
      <c r="F80" s="41">
        <f>Table3[[#This Row],[Perc. Abused
(Same-Age Population)]]/(MAX(E:E)-MIN(E:E))</f>
        <v>0.57402997618714102</v>
      </c>
      <c r="H80" s="11" t="s">
        <v>264</v>
      </c>
      <c r="I80" s="11">
        <v>129815</v>
      </c>
      <c r="J80" s="20">
        <f>Table2[[#This Row],[TRUMP VOTES]]/C179</f>
        <v>0.13860076381763614</v>
      </c>
      <c r="K80" s="11">
        <v>246105</v>
      </c>
      <c r="L80" s="20">
        <f>Table2[[#This Row],[BIDEN VOTES]]/C179</f>
        <v>0.26276116765658314</v>
      </c>
      <c r="M80" s="40">
        <f>Table2[[#This Row],[BIDEN VOTES]]/(MAX(K:K)-MIN(K:K))</f>
        <v>1.0014730836687109</v>
      </c>
      <c r="N80" s="40">
        <f>1-(Table2[[#This Row],[NbP]]+Table2[[#This Row],[NbP2]])</f>
        <v>0.59863806852578072</v>
      </c>
    </row>
    <row r="81" spans="1:14" ht="15">
      <c r="A81" s="13" t="s">
        <v>69</v>
      </c>
      <c r="B81" s="14" t="s">
        <v>150</v>
      </c>
      <c r="C81" s="13" t="s">
        <v>1</v>
      </c>
      <c r="D81" s="13" t="s">
        <v>71</v>
      </c>
      <c r="E81" s="26">
        <v>5.5789999999999999E-2</v>
      </c>
      <c r="F81" s="41">
        <f>Table3[[#This Row],[Perc. Abused
(Same-Age Population)]]/(MAX(E:E)-MIN(E:E))</f>
        <v>0.78148200028015113</v>
      </c>
      <c r="H81" s="11" t="s">
        <v>248</v>
      </c>
      <c r="I81" s="11">
        <v>7136</v>
      </c>
      <c r="J81" s="20">
        <f>Table2[[#This Row],[TRUMP VOTES]]/C180</f>
        <v>0.35812506273210881</v>
      </c>
      <c r="K81" s="11">
        <v>1802</v>
      </c>
      <c r="L81" s="20">
        <f>Table2[[#This Row],[BIDEN VOTES]]/C180</f>
        <v>9.0434608049784204E-2</v>
      </c>
      <c r="M81" s="40">
        <f>Table2[[#This Row],[BIDEN VOTES]]/(MAX(K:K)-MIN(K:K))</f>
        <v>7.3328640083339097E-3</v>
      </c>
      <c r="N81" s="40">
        <f>1-(Table2[[#This Row],[NbP]]+Table2[[#This Row],[NbP2]])</f>
        <v>0.55144032921810693</v>
      </c>
    </row>
    <row r="82" spans="1:14" ht="15">
      <c r="A82" s="11" t="s">
        <v>69</v>
      </c>
      <c r="B82" s="12" t="s">
        <v>151</v>
      </c>
      <c r="C82" s="11" t="s">
        <v>1</v>
      </c>
      <c r="D82" s="11" t="s">
        <v>71</v>
      </c>
      <c r="E82" s="25">
        <v>6.4479999999999996E-2</v>
      </c>
      <c r="F82" s="41">
        <f>Table3[[#This Row],[Perc. Abused
(Same-Age Population)]]/(MAX(E:E)-MIN(E:E))</f>
        <v>0.90320773217537453</v>
      </c>
      <c r="H82" s="11" t="s">
        <v>249</v>
      </c>
      <c r="I82" s="11">
        <v>4950</v>
      </c>
      <c r="J82" s="20">
        <f>Table2[[#This Row],[TRUMP VOTES]]/C181</f>
        <v>0.36523278978823875</v>
      </c>
      <c r="K82" s="11">
        <v>1232</v>
      </c>
      <c r="L82" s="20">
        <f>Table2[[#This Row],[BIDEN VOTES]]/C181</f>
        <v>9.0902383236183867E-2</v>
      </c>
      <c r="M82" s="40">
        <f>Table2[[#This Row],[BIDEN VOTES]]/(MAX(K:K)-MIN(K:K))</f>
        <v>5.0133676238997655E-3</v>
      </c>
      <c r="N82" s="40">
        <f>1-(Table2[[#This Row],[NbP]]+Table2[[#This Row],[NbP2]])</f>
        <v>0.54386482697557736</v>
      </c>
    </row>
    <row r="83" spans="1:14" ht="15">
      <c r="A83" s="13" t="s">
        <v>69</v>
      </c>
      <c r="B83" s="14" t="s">
        <v>152</v>
      </c>
      <c r="C83" s="13" t="s">
        <v>1</v>
      </c>
      <c r="D83" s="13" t="s">
        <v>71</v>
      </c>
      <c r="E83" s="26">
        <v>6.9669999999999996E-2</v>
      </c>
      <c r="F83" s="41">
        <f>Table3[[#This Row],[Perc. Abused
(Same-Age Population)]]/(MAX(E:E)-MIN(E:E))</f>
        <v>0.97590698977447798</v>
      </c>
      <c r="H83" s="11" t="s">
        <v>250</v>
      </c>
      <c r="I83" s="11">
        <v>55860</v>
      </c>
      <c r="J83" s="20">
        <f>Table2[[#This Row],[TRUMP VOTES]]/C182</f>
        <v>0.35420114516159712</v>
      </c>
      <c r="K83" s="11">
        <v>17272</v>
      </c>
      <c r="L83" s="20">
        <f>Table2[[#This Row],[BIDEN VOTES]]/C182</f>
        <v>0.10951955208075735</v>
      </c>
      <c r="M83" s="40">
        <f>Table2[[#This Row],[BIDEN VOTES]]/(MAX(K:K)-MIN(K:K))</f>
        <v>7.0284809740257095E-2</v>
      </c>
      <c r="N83" s="40">
        <f>1-(Table2[[#This Row],[NbP]]+Table2[[#This Row],[NbP2]])</f>
        <v>0.53627930275764557</v>
      </c>
    </row>
    <row r="84" spans="1:14" ht="15">
      <c r="A84" s="11" t="s">
        <v>69</v>
      </c>
      <c r="B84" s="12" t="s">
        <v>153</v>
      </c>
      <c r="C84" s="11" t="s">
        <v>1</v>
      </c>
      <c r="D84" s="11" t="s">
        <v>71</v>
      </c>
      <c r="E84" s="25">
        <v>3.1140000000000001E-2</v>
      </c>
      <c r="F84" s="41">
        <f>Table3[[#This Row],[Perc. Abused
(Same-Age Population)]]/(MAX(E:E)-MIN(E:E))</f>
        <v>0.43619554559462104</v>
      </c>
      <c r="H84" s="11" t="s">
        <v>251</v>
      </c>
      <c r="I84" s="11">
        <v>63454</v>
      </c>
      <c r="J84" s="20">
        <f>Table2[[#This Row],[TRUMP VOTES]]/C183</f>
        <v>0.33809676044330778</v>
      </c>
      <c r="K84" s="11">
        <v>27680</v>
      </c>
      <c r="L84" s="20">
        <f>Table2[[#This Row],[BIDEN VOTES]]/C183</f>
        <v>0.1474850809889173</v>
      </c>
      <c r="M84" s="40">
        <f>Table2[[#This Row],[BIDEN VOTES]]/(MAX(K:K)-MIN(K:K))</f>
        <v>0.11263799986164408</v>
      </c>
      <c r="N84" s="40">
        <f>1-(Table2[[#This Row],[NbP]]+Table2[[#This Row],[NbP2]])</f>
        <v>0.51441815856777495</v>
      </c>
    </row>
    <row r="85" spans="1:14" ht="15">
      <c r="A85" s="13" t="s">
        <v>69</v>
      </c>
      <c r="B85" s="14" t="s">
        <v>154</v>
      </c>
      <c r="C85" s="13" t="s">
        <v>1</v>
      </c>
      <c r="D85" s="13" t="s">
        <v>71</v>
      </c>
      <c r="E85" s="26">
        <v>4.895E-2</v>
      </c>
      <c r="F85" s="41">
        <f>Table3[[#This Row],[Perc. Abused
(Same-Age Population)]]/(MAX(E:E)-MIN(E:E))</f>
        <v>0.68567026194144831</v>
      </c>
      <c r="H85" s="11" t="s">
        <v>252</v>
      </c>
      <c r="I85" s="11">
        <v>20070</v>
      </c>
      <c r="J85" s="20">
        <f>Table2[[#This Row],[TRUMP VOTES]]/C184</f>
        <v>0.32601280010396022</v>
      </c>
      <c r="K85" s="11">
        <v>6837</v>
      </c>
      <c r="L85" s="20">
        <f>Table2[[#This Row],[BIDEN VOTES]]/C184</f>
        <v>0.11105877002046717</v>
      </c>
      <c r="M85" s="40">
        <f>Table2[[#This Row],[BIDEN VOTES]]/(MAX(K:K)-MIN(K:K))</f>
        <v>2.7821748737502188E-2</v>
      </c>
      <c r="N85" s="40">
        <f>1-(Table2[[#This Row],[NbP]]+Table2[[#This Row],[NbP2]])</f>
        <v>0.56292842987557257</v>
      </c>
    </row>
    <row r="86" spans="1:14" ht="15">
      <c r="A86" s="11" t="s">
        <v>69</v>
      </c>
      <c r="B86" s="12" t="s">
        <v>155</v>
      </c>
      <c r="C86" s="11" t="s">
        <v>1</v>
      </c>
      <c r="D86" s="11" t="s">
        <v>71</v>
      </c>
      <c r="E86" s="25">
        <v>4.3479999999999998E-2</v>
      </c>
      <c r="F86" s="41">
        <f>Table3[[#This Row],[Perc. Abused
(Same-Age Population)]]/(MAX(E:E)-MIN(E:E))</f>
        <v>0.60904888639865518</v>
      </c>
      <c r="H86" s="11" t="s">
        <v>253</v>
      </c>
      <c r="I86" s="11">
        <v>2936</v>
      </c>
      <c r="J86" s="20">
        <f>Table2[[#This Row],[TRUMP VOTES]]/C185</f>
        <v>0.26911090742438132</v>
      </c>
      <c r="K86" s="11">
        <v>1012</v>
      </c>
      <c r="L86" s="20">
        <f>Table2[[#This Row],[BIDEN VOTES]]/C185</f>
        <v>9.2758936755270388E-2</v>
      </c>
      <c r="M86" s="40">
        <f>Table2[[#This Row],[BIDEN VOTES]]/(MAX(K:K)-MIN(K:K))</f>
        <v>4.1181234053462353E-3</v>
      </c>
      <c r="N86" s="40">
        <f>1-(Table2[[#This Row],[NbP]]+Table2[[#This Row],[NbP2]])</f>
        <v>0.63813015582034827</v>
      </c>
    </row>
    <row r="87" spans="1:14" ht="15">
      <c r="A87" s="13" t="s">
        <v>69</v>
      </c>
      <c r="B87" s="14" t="s">
        <v>156</v>
      </c>
      <c r="C87" s="13" t="s">
        <v>1</v>
      </c>
      <c r="D87" s="13" t="s">
        <v>71</v>
      </c>
      <c r="E87" s="26">
        <v>6.1429999999999998E-2</v>
      </c>
      <c r="F87" s="41">
        <f>Table3[[#This Row],[Perc. Abused
(Same-Age Population)]]/(MAX(E:E)-MIN(E:E))</f>
        <v>0.86048466171732718</v>
      </c>
      <c r="H87" s="11" t="s">
        <v>254</v>
      </c>
      <c r="I87" s="11">
        <v>6599</v>
      </c>
      <c r="J87" s="20">
        <f>Table2[[#This Row],[TRUMP VOTES]]/C186</f>
        <v>0.37029347399135853</v>
      </c>
      <c r="K87" s="11">
        <v>1615</v>
      </c>
      <c r="L87" s="20">
        <f>Table2[[#This Row],[BIDEN VOTES]]/C186</f>
        <v>9.0623421805734808E-2</v>
      </c>
      <c r="M87" s="40">
        <f>Table2[[#This Row],[BIDEN VOTES]]/(MAX(K:K)-MIN(K:K))</f>
        <v>6.5719064225634094E-3</v>
      </c>
      <c r="N87" s="40">
        <f>1-(Table2[[#This Row],[NbP]]+Table2[[#This Row],[NbP2]])</f>
        <v>0.53908310420290673</v>
      </c>
    </row>
    <row r="88" spans="1:14" ht="15">
      <c r="A88" s="11" t="s">
        <v>69</v>
      </c>
      <c r="B88" s="12" t="s">
        <v>157</v>
      </c>
      <c r="C88" s="11" t="s">
        <v>1</v>
      </c>
      <c r="D88" s="11" t="s">
        <v>71</v>
      </c>
      <c r="E88" s="25">
        <v>5.2510000000000001E-2</v>
      </c>
      <c r="F88" s="41">
        <f>Table3[[#This Row],[Perc. Abused
(Same-Age Population)]]/(MAX(E:E)-MIN(E:E))</f>
        <v>0.73553719008264451</v>
      </c>
      <c r="H88" s="11" t="s">
        <v>255</v>
      </c>
      <c r="I88" s="11">
        <v>6803</v>
      </c>
      <c r="J88" s="20">
        <f>Table2[[#This Row],[TRUMP VOTES]]/C187</f>
        <v>0.34571602805163126</v>
      </c>
      <c r="K88" s="11">
        <v>1249</v>
      </c>
      <c r="L88" s="20">
        <f>Table2[[#This Row],[BIDEN VOTES]]/C187</f>
        <v>6.347189755056408E-2</v>
      </c>
      <c r="M88" s="40">
        <f>Table2[[#This Row],[BIDEN VOTES]]/(MAX(K:K)-MIN(K:K))</f>
        <v>5.082545586242538E-3</v>
      </c>
      <c r="N88" s="40">
        <f>1-(Table2[[#This Row],[NbP]]+Table2[[#This Row],[NbP2]])</f>
        <v>0.5908120743978047</v>
      </c>
    </row>
    <row r="89" spans="1:14" ht="15">
      <c r="A89" s="13" t="s">
        <v>69</v>
      </c>
      <c r="B89" s="14" t="s">
        <v>158</v>
      </c>
      <c r="C89" s="13" t="s">
        <v>1</v>
      </c>
      <c r="D89" s="13" t="s">
        <v>71</v>
      </c>
      <c r="E89" s="26">
        <v>6.7479999999999998E-2</v>
      </c>
      <c r="F89" s="41">
        <f>Table3[[#This Row],[Perc. Abused
(Same-Age Population)]]/(MAX(E:E)-MIN(E:E))</f>
        <v>0.94523042442919158</v>
      </c>
      <c r="H89" s="11" t="s">
        <v>256</v>
      </c>
      <c r="I89" s="11">
        <v>2342</v>
      </c>
      <c r="J89" s="20">
        <f>Table2[[#This Row],[TRUMP VOTES]]/C188</f>
        <v>0.40289007397213145</v>
      </c>
      <c r="K89" s="11">
        <v>544</v>
      </c>
      <c r="L89" s="20">
        <f>Table2[[#This Row],[BIDEN VOTES]]/C188</f>
        <v>9.3583347669017714E-2</v>
      </c>
      <c r="M89" s="40">
        <f>Table2[[#This Row],[BIDEN VOTES]]/(MAX(K:K)-MIN(K:K))</f>
        <v>2.2136947949687276E-3</v>
      </c>
      <c r="N89" s="40">
        <f>1-(Table2[[#This Row],[NbP]]+Table2[[#This Row],[NbP2]])</f>
        <v>0.50352657835885084</v>
      </c>
    </row>
    <row r="90" spans="1:14" ht="15">
      <c r="A90" s="11" t="s">
        <v>69</v>
      </c>
      <c r="B90" s="12" t="s">
        <v>159</v>
      </c>
      <c r="C90" s="11" t="s">
        <v>1</v>
      </c>
      <c r="D90" s="11" t="s">
        <v>71</v>
      </c>
      <c r="E90" s="25">
        <v>5.901E-2</v>
      </c>
      <c r="F90" s="41">
        <f>Table3[[#This Row],[Perc. Abused
(Same-Age Population)]]/(MAX(E:E)-MIN(E:E))</f>
        <v>0.82658635663258151</v>
      </c>
      <c r="H90" s="11" t="s">
        <v>257</v>
      </c>
      <c r="I90" s="11">
        <v>11850</v>
      </c>
      <c r="J90" s="20">
        <f>Table2[[#This Row],[TRUMP VOTES]]/C189</f>
        <v>0.28922896683019694</v>
      </c>
      <c r="K90" s="11">
        <v>3924</v>
      </c>
      <c r="L90" s="20">
        <f>Table2[[#This Row],[BIDEN VOTES]]/C189</f>
        <v>9.5775060408581678E-2</v>
      </c>
      <c r="M90" s="40">
        <f>Table2[[#This Row],[BIDEN VOTES]]/(MAX(K:K)-MIN(K:K))</f>
        <v>1.5967901425472955E-2</v>
      </c>
      <c r="N90" s="40">
        <f>1-(Table2[[#This Row],[NbP]]+Table2[[#This Row],[NbP2]])</f>
        <v>0.61499597276122131</v>
      </c>
    </row>
    <row r="91" spans="1:14" ht="15">
      <c r="A91" s="13" t="s">
        <v>69</v>
      </c>
      <c r="B91" s="14" t="s">
        <v>38</v>
      </c>
      <c r="C91" s="13" t="s">
        <v>1</v>
      </c>
      <c r="D91" s="13" t="s">
        <v>71</v>
      </c>
      <c r="E91" s="26">
        <v>5.237E-2</v>
      </c>
      <c r="F91" s="41">
        <f>Table3[[#This Row],[Perc. Abused
(Same-Age Population)]]/(MAX(E:E)-MIN(E:E))</f>
        <v>0.73357613111079978</v>
      </c>
      <c r="H91" s="11" t="s">
        <v>258</v>
      </c>
      <c r="I91" s="11">
        <v>40444</v>
      </c>
      <c r="J91" s="20">
        <f>Table2[[#This Row],[TRUMP VOTES]]/C190</f>
        <v>0.31382590747551875</v>
      </c>
      <c r="K91" s="11">
        <v>18638</v>
      </c>
      <c r="L91" s="20">
        <f>Table2[[#This Row],[BIDEN VOTES]]/C190</f>
        <v>0.14462187873426757</v>
      </c>
      <c r="M91" s="40">
        <f>Table2[[#This Row],[BIDEN VOTES]]/(MAX(K:K)-MIN(K:K))</f>
        <v>7.5843462479094015E-2</v>
      </c>
      <c r="N91" s="40">
        <f>1-(Table2[[#This Row],[NbP]]+Table2[[#This Row],[NbP2]])</f>
        <v>0.54155221379021368</v>
      </c>
    </row>
    <row r="92" spans="1:14" ht="15">
      <c r="A92" s="11" t="s">
        <v>69</v>
      </c>
      <c r="B92" s="12" t="s">
        <v>160</v>
      </c>
      <c r="C92" s="11" t="s">
        <v>1</v>
      </c>
      <c r="D92" s="11" t="s">
        <v>71</v>
      </c>
      <c r="E92" s="25">
        <v>4.965E-2</v>
      </c>
      <c r="F92" s="41">
        <f>Table3[[#This Row],[Perc. Abused
(Same-Age Population)]]/(MAX(E:E)-MIN(E:E))</f>
        <v>0.6954755568006723</v>
      </c>
      <c r="H92" s="11" t="s">
        <v>259</v>
      </c>
      <c r="I92" s="11">
        <v>5795</v>
      </c>
      <c r="J92" s="20">
        <f>Table2[[#This Row],[TRUMP VOTES]]/C191</f>
        <v>0.34829907440798175</v>
      </c>
      <c r="K92" s="11">
        <v>820</v>
      </c>
      <c r="L92" s="20">
        <f>Table2[[#This Row],[BIDEN VOTES]]/C191</f>
        <v>4.9284769804062989E-2</v>
      </c>
      <c r="M92" s="40">
        <f>Table2[[#This Row],[BIDEN VOTES]]/(MAX(K:K)-MIN(K:K))</f>
        <v>3.3368193600631555E-3</v>
      </c>
      <c r="N92" s="40">
        <f>1-(Table2[[#This Row],[NbP]]+Table2[[#This Row],[NbP2]])</f>
        <v>0.60241615578795527</v>
      </c>
    </row>
    <row r="93" spans="1:14" ht="15">
      <c r="A93" s="13" t="s">
        <v>69</v>
      </c>
      <c r="B93" s="14" t="s">
        <v>161</v>
      </c>
      <c r="C93" s="13" t="s">
        <v>1</v>
      </c>
      <c r="D93" s="13" t="s">
        <v>71</v>
      </c>
      <c r="E93" s="26">
        <v>4.7809999999999998E-2</v>
      </c>
      <c r="F93" s="41">
        <f>Table3[[#This Row],[Perc. Abused
(Same-Age Population)]]/(MAX(E:E)-MIN(E:E))</f>
        <v>0.66970163888499779</v>
      </c>
      <c r="H93" s="11" t="s">
        <v>260</v>
      </c>
      <c r="I93" s="11">
        <v>10396</v>
      </c>
      <c r="J93" s="20">
        <f>Table2[[#This Row],[TRUMP VOTES]]/C192</f>
        <v>0.31147197171705066</v>
      </c>
      <c r="K93" s="11">
        <v>3020</v>
      </c>
      <c r="L93" s="20">
        <f>Table2[[#This Row],[BIDEN VOTES]]/C192</f>
        <v>9.0481469275249429E-2</v>
      </c>
      <c r="M93" s="40">
        <f>Table2[[#This Row],[BIDEN VOTES]]/(MAX(K:K)-MIN(K:K))</f>
        <v>1.2289261545598451E-2</v>
      </c>
      <c r="N93" s="40">
        <f>1-(Table2[[#This Row],[NbP]]+Table2[[#This Row],[NbP2]])</f>
        <v>0.59804655900769998</v>
      </c>
    </row>
    <row r="94" spans="1:14" ht="15">
      <c r="A94" s="11" t="s">
        <v>69</v>
      </c>
      <c r="B94" s="12" t="s">
        <v>162</v>
      </c>
      <c r="C94" s="11" t="s">
        <v>1</v>
      </c>
      <c r="D94" s="11" t="s">
        <v>71</v>
      </c>
      <c r="E94" s="25">
        <v>7.9430000000000001E-2</v>
      </c>
      <c r="F94" s="41">
        <f>Table3[[#This Row],[Perc. Abused
(Same-Age Population)]]/(MAX(E:E)-MIN(E:E))</f>
        <v>1.1126208152402295</v>
      </c>
      <c r="H94" s="11" t="s">
        <v>261</v>
      </c>
      <c r="I94" s="11">
        <v>9606</v>
      </c>
      <c r="J94" s="20">
        <f>Table2[[#This Row],[TRUMP VOTES]]/C193</f>
        <v>0.35463506479122825</v>
      </c>
      <c r="K94" s="11">
        <v>2143</v>
      </c>
      <c r="L94" s="20">
        <f>Table2[[#This Row],[BIDEN VOTES]]/C193</f>
        <v>7.9115442832354999E-2</v>
      </c>
      <c r="M94" s="40">
        <f>Table2[[#This Row],[BIDEN VOTES]]/(MAX(K:K)-MIN(K:K))</f>
        <v>8.7204925470918803E-3</v>
      </c>
      <c r="N94" s="40">
        <f>1-(Table2[[#This Row],[NbP]]+Table2[[#This Row],[NbP2]])</f>
        <v>0.56624949237641675</v>
      </c>
    </row>
    <row r="95" spans="1:14" ht="15">
      <c r="A95" s="13" t="s">
        <v>69</v>
      </c>
      <c r="B95" s="14" t="s">
        <v>163</v>
      </c>
      <c r="C95" s="13" t="s">
        <v>1</v>
      </c>
      <c r="D95" s="13" t="s">
        <v>71</v>
      </c>
      <c r="E95" s="26">
        <v>1.179E-2</v>
      </c>
      <c r="F95" s="41">
        <f>Table3[[#This Row],[Perc. Abused
(Same-Age Population)]]/(MAX(E:E)-MIN(E:E))</f>
        <v>0.16514918055750102</v>
      </c>
      <c r="H95" s="11" t="s">
        <v>262</v>
      </c>
      <c r="I95" s="11">
        <v>86469</v>
      </c>
      <c r="J95" s="20">
        <f>Table2[[#This Row],[TRUMP VOTES]]/C194</f>
        <v>0.37210172992512264</v>
      </c>
      <c r="K95" s="11">
        <v>50161</v>
      </c>
      <c r="L95" s="20">
        <f>Table2[[#This Row],[BIDEN VOTES]]/C194</f>
        <v>0.21585764695756951</v>
      </c>
      <c r="M95" s="40">
        <f>Table2[[#This Row],[BIDEN VOTES]]/(MAX(K:K)-MIN(K:K))</f>
        <v>0.20411975112210723</v>
      </c>
      <c r="N95" s="40">
        <f>1-(Table2[[#This Row],[NbP]]+Table2[[#This Row],[NbP2]])</f>
        <v>0.41204062311730782</v>
      </c>
    </row>
    <row r="96" spans="1:14" ht="15">
      <c r="A96" s="23" t="s">
        <v>69</v>
      </c>
      <c r="B96" s="24" t="s">
        <v>164</v>
      </c>
      <c r="C96" s="23" t="s">
        <v>1</v>
      </c>
      <c r="D96" s="23" t="s">
        <v>71</v>
      </c>
      <c r="E96" s="27">
        <v>2.7990000000000001E-2</v>
      </c>
      <c r="F96" s="42">
        <f>Table3[[#This Row],[Perc. Abused
(Same-Age Population)]]/(MAX(E:E)-MIN(E:E))</f>
        <v>0.39207171872811314</v>
      </c>
      <c r="H96" s="11" t="s">
        <v>263</v>
      </c>
      <c r="I96" s="11">
        <v>50296</v>
      </c>
      <c r="J96" s="20">
        <f>Table2[[#This Row],[TRUMP VOTES]]/C195</f>
        <v>0.35771386304799296</v>
      </c>
      <c r="K96" s="11">
        <v>22254</v>
      </c>
      <c r="L96" s="20">
        <f>Table2[[#This Row],[BIDEN VOTES]]/C195</f>
        <v>0.15827430229580952</v>
      </c>
      <c r="M96" s="40">
        <f>Table2[[#This Row],[BIDEN VOTES]]/(MAX(K:K)-MIN(K:K))</f>
        <v>9.0558021998592031E-2</v>
      </c>
      <c r="N96" s="40">
        <f>1-(Table2[[#This Row],[NbP]]+Table2[[#This Row],[NbP2]])</f>
        <v>0.48401183465619746</v>
      </c>
    </row>
    <row r="98" spans="1:8">
      <c r="A98" t="s">
        <v>266</v>
      </c>
      <c r="H98" t="s">
        <v>265</v>
      </c>
    </row>
    <row r="100" spans="1:8" ht="21">
      <c r="A100" s="77" t="s">
        <v>1670</v>
      </c>
      <c r="B100" s="77" t="s">
        <v>69</v>
      </c>
      <c r="C100" s="77" t="s">
        <v>54</v>
      </c>
    </row>
    <row r="101" spans="1:8" ht="21">
      <c r="A101" s="52">
        <v>18</v>
      </c>
      <c r="B101" s="53" t="s">
        <v>170</v>
      </c>
      <c r="C101" s="54">
        <v>76513</v>
      </c>
    </row>
    <row r="102" spans="1:8" ht="21">
      <c r="A102" s="52">
        <v>33</v>
      </c>
      <c r="B102" s="53" t="s">
        <v>171</v>
      </c>
      <c r="C102" s="54">
        <v>48937</v>
      </c>
    </row>
    <row r="103" spans="1:8" ht="21">
      <c r="A103" s="52">
        <v>76</v>
      </c>
      <c r="B103" s="53" t="s">
        <v>172</v>
      </c>
      <c r="C103" s="54">
        <v>16133</v>
      </c>
    </row>
    <row r="104" spans="1:8" ht="21">
      <c r="A104" s="52">
        <v>77</v>
      </c>
      <c r="B104" s="53" t="s">
        <v>173</v>
      </c>
      <c r="C104" s="54">
        <v>14961</v>
      </c>
    </row>
    <row r="105" spans="1:8" ht="21">
      <c r="A105" s="52">
        <v>11</v>
      </c>
      <c r="B105" s="53" t="s">
        <v>174</v>
      </c>
      <c r="C105" s="54">
        <v>131641</v>
      </c>
    </row>
    <row r="106" spans="1:8" ht="21">
      <c r="A106" s="52">
        <v>13</v>
      </c>
      <c r="B106" s="53" t="s">
        <v>175</v>
      </c>
      <c r="C106" s="54">
        <v>106924</v>
      </c>
    </row>
    <row r="107" spans="1:8" ht="21">
      <c r="A107" s="52">
        <v>40</v>
      </c>
      <c r="B107" s="53" t="s">
        <v>176</v>
      </c>
      <c r="C107" s="54">
        <v>39818</v>
      </c>
    </row>
    <row r="108" spans="1:8" ht="21">
      <c r="A108" s="52">
        <v>79</v>
      </c>
      <c r="B108" s="53" t="s">
        <v>177</v>
      </c>
      <c r="C108" s="54">
        <v>14374</v>
      </c>
    </row>
    <row r="109" spans="1:8" ht="21">
      <c r="A109" s="52">
        <v>53</v>
      </c>
      <c r="B109" s="53" t="s">
        <v>178</v>
      </c>
      <c r="C109" s="54">
        <v>27841</v>
      </c>
    </row>
    <row r="110" spans="1:8" ht="21">
      <c r="A110" s="52">
        <v>25</v>
      </c>
      <c r="B110" s="53" t="s">
        <v>179</v>
      </c>
      <c r="C110" s="54">
        <v>56452</v>
      </c>
    </row>
    <row r="111" spans="1:8" ht="21">
      <c r="A111" s="52">
        <v>39</v>
      </c>
      <c r="B111" s="53" t="s">
        <v>180</v>
      </c>
      <c r="C111" s="54">
        <v>40539</v>
      </c>
    </row>
    <row r="112" spans="1:8" ht="21">
      <c r="A112" s="52">
        <v>73</v>
      </c>
      <c r="B112" s="53" t="s">
        <v>181</v>
      </c>
      <c r="C112" s="54">
        <v>17260</v>
      </c>
    </row>
    <row r="113" spans="1:3" ht="21">
      <c r="A113" s="52">
        <v>48</v>
      </c>
      <c r="B113" s="53" t="s">
        <v>182</v>
      </c>
      <c r="C113" s="54">
        <v>31827</v>
      </c>
    </row>
    <row r="114" spans="1:3" ht="21">
      <c r="A114" s="52">
        <v>90</v>
      </c>
      <c r="B114" s="53" t="s">
        <v>183</v>
      </c>
      <c r="C114" s="54">
        <v>7640</v>
      </c>
    </row>
    <row r="115" spans="1:3" ht="21">
      <c r="A115" s="52">
        <v>42</v>
      </c>
      <c r="B115" s="53" t="s">
        <v>184</v>
      </c>
      <c r="C115" s="54">
        <v>35797</v>
      </c>
    </row>
    <row r="116" spans="1:3" ht="21">
      <c r="A116" s="52">
        <v>26</v>
      </c>
      <c r="B116" s="53" t="s">
        <v>185</v>
      </c>
      <c r="C116" s="54">
        <v>56024</v>
      </c>
    </row>
    <row r="117" spans="1:3" ht="21">
      <c r="A117" s="52">
        <v>80</v>
      </c>
      <c r="B117" s="53" t="s">
        <v>186</v>
      </c>
      <c r="C117" s="54">
        <v>14310</v>
      </c>
    </row>
    <row r="118" spans="1:3" ht="21">
      <c r="A118" s="52">
        <v>23</v>
      </c>
      <c r="B118" s="53" t="s">
        <v>187</v>
      </c>
      <c r="C118" s="54">
        <v>60016</v>
      </c>
    </row>
    <row r="119" spans="1:3" ht="21">
      <c r="A119" s="52">
        <v>2</v>
      </c>
      <c r="B119" s="53" t="s">
        <v>188</v>
      </c>
      <c r="C119" s="54">
        <v>690540</v>
      </c>
    </row>
    <row r="120" spans="1:3" ht="21">
      <c r="A120" s="52">
        <v>86</v>
      </c>
      <c r="B120" s="53" t="s">
        <v>189</v>
      </c>
      <c r="C120" s="54">
        <v>11663</v>
      </c>
    </row>
    <row r="121" spans="1:3" ht="21">
      <c r="A121" s="52">
        <v>65</v>
      </c>
      <c r="B121" s="53" t="s">
        <v>190</v>
      </c>
      <c r="C121" s="54">
        <v>20104</v>
      </c>
    </row>
    <row r="122" spans="1:3" ht="21">
      <c r="A122" s="52">
        <v>30</v>
      </c>
      <c r="B122" s="53" t="s">
        <v>191</v>
      </c>
      <c r="C122" s="54">
        <v>53289</v>
      </c>
    </row>
    <row r="123" spans="1:3" ht="21">
      <c r="A123" s="52">
        <v>41</v>
      </c>
      <c r="B123" s="53" t="s">
        <v>192</v>
      </c>
      <c r="C123" s="54">
        <v>37201</v>
      </c>
    </row>
    <row r="124" spans="1:3" ht="21">
      <c r="A124" s="52">
        <v>38</v>
      </c>
      <c r="B124" s="53" t="s">
        <v>193</v>
      </c>
      <c r="C124" s="54">
        <v>40612</v>
      </c>
    </row>
    <row r="125" spans="1:3" ht="21">
      <c r="A125" s="52">
        <v>69</v>
      </c>
      <c r="B125" s="53" t="s">
        <v>194</v>
      </c>
      <c r="C125" s="54">
        <v>18405</v>
      </c>
    </row>
    <row r="126" spans="1:3" ht="21">
      <c r="A126" s="52">
        <v>36</v>
      </c>
      <c r="B126" s="53" t="s">
        <v>195</v>
      </c>
      <c r="C126" s="54">
        <v>41999</v>
      </c>
    </row>
    <row r="127" spans="1:3" ht="21">
      <c r="A127" s="52">
        <v>32</v>
      </c>
      <c r="B127" s="53" t="s">
        <v>196</v>
      </c>
      <c r="C127" s="54">
        <v>49193</v>
      </c>
    </row>
    <row r="128" spans="1:3" ht="21">
      <c r="A128" s="52">
        <v>50</v>
      </c>
      <c r="B128" s="53" t="s">
        <v>197</v>
      </c>
      <c r="C128" s="54">
        <v>29403</v>
      </c>
    </row>
    <row r="129" spans="1:3" ht="21">
      <c r="A129" s="52">
        <v>61</v>
      </c>
      <c r="B129" s="53" t="s">
        <v>198</v>
      </c>
      <c r="C129" s="54">
        <v>23268</v>
      </c>
    </row>
    <row r="130" spans="1:3" ht="21">
      <c r="A130" s="52">
        <v>20</v>
      </c>
      <c r="B130" s="53" t="s">
        <v>199</v>
      </c>
      <c r="C130" s="54">
        <v>69077</v>
      </c>
    </row>
    <row r="131" spans="1:3" ht="21">
      <c r="A131" s="52">
        <v>82</v>
      </c>
      <c r="B131" s="53" t="s">
        <v>200</v>
      </c>
      <c r="C131" s="54">
        <v>13371</v>
      </c>
    </row>
    <row r="132" spans="1:3" ht="21">
      <c r="A132" s="52">
        <v>21</v>
      </c>
      <c r="B132" s="53" t="s">
        <v>201</v>
      </c>
      <c r="C132" s="54">
        <v>64479</v>
      </c>
    </row>
    <row r="133" spans="1:3" ht="21">
      <c r="A133" s="52">
        <v>4</v>
      </c>
      <c r="B133" s="53" t="s">
        <v>202</v>
      </c>
      <c r="C133" s="54">
        <v>364718</v>
      </c>
    </row>
    <row r="134" spans="1:3" ht="21">
      <c r="A134" s="52">
        <v>92</v>
      </c>
      <c r="B134" s="53" t="s">
        <v>203</v>
      </c>
      <c r="C134" s="54">
        <v>6568</v>
      </c>
    </row>
    <row r="135" spans="1:3" ht="21">
      <c r="A135" s="52">
        <v>58</v>
      </c>
      <c r="B135" s="53" t="s">
        <v>204</v>
      </c>
      <c r="C135" s="54">
        <v>25247</v>
      </c>
    </row>
    <row r="136" spans="1:3" ht="21">
      <c r="A136" s="52">
        <v>57</v>
      </c>
      <c r="B136" s="53" t="s">
        <v>205</v>
      </c>
      <c r="C136" s="54">
        <v>25665</v>
      </c>
    </row>
    <row r="137" spans="1:3" ht="21">
      <c r="A137" s="52">
        <v>24</v>
      </c>
      <c r="B137" s="53" t="s">
        <v>206</v>
      </c>
      <c r="C137" s="54">
        <v>56735</v>
      </c>
    </row>
    <row r="138" spans="1:3" ht="21">
      <c r="A138" s="52">
        <v>72</v>
      </c>
      <c r="B138" s="53" t="s">
        <v>207</v>
      </c>
      <c r="C138" s="54">
        <v>17391</v>
      </c>
    </row>
    <row r="139" spans="1:3" ht="21">
      <c r="A139" s="52">
        <v>52</v>
      </c>
      <c r="B139" s="53" t="s">
        <v>208</v>
      </c>
      <c r="C139" s="54">
        <v>27956</v>
      </c>
    </row>
    <row r="140" spans="1:3" ht="21">
      <c r="A140" s="52">
        <v>47</v>
      </c>
      <c r="B140" s="53" t="s">
        <v>209</v>
      </c>
      <c r="C140" s="54">
        <v>32251</v>
      </c>
    </row>
    <row r="141" spans="1:3" ht="21">
      <c r="A141" s="52">
        <v>59</v>
      </c>
      <c r="B141" s="53" t="s">
        <v>210</v>
      </c>
      <c r="C141" s="54">
        <v>25017</v>
      </c>
    </row>
    <row r="142" spans="1:3" ht="21">
      <c r="A142" s="52">
        <v>88</v>
      </c>
      <c r="B142" s="53" t="s">
        <v>211</v>
      </c>
      <c r="C142" s="54">
        <v>8201</v>
      </c>
    </row>
    <row r="143" spans="1:3" ht="21">
      <c r="A143" s="52">
        <v>68</v>
      </c>
      <c r="B143" s="53" t="s">
        <v>212</v>
      </c>
      <c r="C143" s="54">
        <v>18528</v>
      </c>
    </row>
    <row r="144" spans="1:3" ht="21">
      <c r="A144" s="52">
        <v>85</v>
      </c>
      <c r="B144" s="53" t="s">
        <v>213</v>
      </c>
      <c r="C144" s="54">
        <v>11767</v>
      </c>
    </row>
    <row r="145" spans="1:3" ht="21">
      <c r="A145" s="52">
        <v>27</v>
      </c>
      <c r="B145" s="53" t="s">
        <v>214</v>
      </c>
      <c r="C145" s="54">
        <v>54162</v>
      </c>
    </row>
    <row r="146" spans="1:3" ht="21">
      <c r="A146" s="52">
        <v>71</v>
      </c>
      <c r="B146" s="53" t="s">
        <v>215</v>
      </c>
      <c r="C146" s="54">
        <v>17755</v>
      </c>
    </row>
    <row r="147" spans="1:3" ht="21">
      <c r="A147" s="52">
        <v>3</v>
      </c>
      <c r="B147" s="53" t="s">
        <v>216</v>
      </c>
      <c r="C147" s="54">
        <v>466184</v>
      </c>
    </row>
    <row r="148" spans="1:3" ht="21">
      <c r="A148" s="52">
        <v>91</v>
      </c>
      <c r="B148" s="53" t="s">
        <v>217</v>
      </c>
      <c r="C148" s="54">
        <v>7273</v>
      </c>
    </row>
    <row r="149" spans="1:3" ht="21">
      <c r="A149" s="52">
        <v>56</v>
      </c>
      <c r="B149" s="53" t="s">
        <v>218</v>
      </c>
      <c r="C149" s="54">
        <v>25689</v>
      </c>
    </row>
    <row r="150" spans="1:3" ht="21">
      <c r="A150" s="52">
        <v>35</v>
      </c>
      <c r="B150" s="53" t="s">
        <v>219</v>
      </c>
      <c r="C150" s="54">
        <v>43780</v>
      </c>
    </row>
    <row r="151" spans="1:3" ht="21">
      <c r="A151" s="52">
        <v>84</v>
      </c>
      <c r="B151" s="53" t="s">
        <v>220</v>
      </c>
      <c r="C151" s="54">
        <v>12131</v>
      </c>
    </row>
    <row r="152" spans="1:3" ht="21">
      <c r="A152" s="52">
        <v>43</v>
      </c>
      <c r="B152" s="53" t="s">
        <v>221</v>
      </c>
      <c r="C152" s="54">
        <v>34158</v>
      </c>
    </row>
    <row r="153" spans="1:3" ht="21">
      <c r="A153" s="52">
        <v>31</v>
      </c>
      <c r="B153" s="53" t="s">
        <v>222</v>
      </c>
      <c r="C153" s="54">
        <v>53169</v>
      </c>
    </row>
    <row r="154" spans="1:3" ht="21">
      <c r="A154" s="52">
        <v>60</v>
      </c>
      <c r="B154" s="53" t="s">
        <v>225</v>
      </c>
      <c r="C154" s="54">
        <v>24208</v>
      </c>
    </row>
    <row r="155" spans="1:3" ht="21">
      <c r="A155" s="52">
        <v>15</v>
      </c>
      <c r="B155" s="53" t="s">
        <v>226</v>
      </c>
      <c r="C155" s="54">
        <v>97838</v>
      </c>
    </row>
    <row r="156" spans="1:3" ht="21">
      <c r="A156" s="52">
        <v>51</v>
      </c>
      <c r="B156" s="53" t="s">
        <v>227</v>
      </c>
      <c r="C156" s="54">
        <v>28639</v>
      </c>
    </row>
    <row r="157" spans="1:3" ht="21">
      <c r="A157" s="52">
        <v>44</v>
      </c>
      <c r="B157" s="53" t="s">
        <v>228</v>
      </c>
      <c r="C157" s="54">
        <v>33708</v>
      </c>
    </row>
    <row r="158" spans="1:3" ht="21">
      <c r="A158" s="52">
        <v>16</v>
      </c>
      <c r="B158" s="53" t="s">
        <v>229</v>
      </c>
      <c r="C158" s="54">
        <v>94615</v>
      </c>
    </row>
    <row r="159" spans="1:3" ht="21">
      <c r="A159" s="52">
        <v>28</v>
      </c>
      <c r="B159" s="53" t="s">
        <v>223</v>
      </c>
      <c r="C159" s="54">
        <v>53392</v>
      </c>
    </row>
    <row r="160" spans="1:3" ht="21">
      <c r="A160" s="52">
        <v>55</v>
      </c>
      <c r="B160" s="53" t="s">
        <v>224</v>
      </c>
      <c r="C160" s="54">
        <v>25814</v>
      </c>
    </row>
    <row r="161" spans="1:3" ht="21">
      <c r="A161" s="52">
        <v>83</v>
      </c>
      <c r="B161" s="53" t="s">
        <v>230</v>
      </c>
      <c r="C161" s="54">
        <v>12237</v>
      </c>
    </row>
    <row r="162" spans="1:3" ht="21">
      <c r="A162" s="52">
        <v>34</v>
      </c>
      <c r="B162" s="53" t="s">
        <v>231</v>
      </c>
      <c r="C162" s="54">
        <v>46413</v>
      </c>
    </row>
    <row r="163" spans="1:3" ht="21">
      <c r="A163" s="52">
        <v>7</v>
      </c>
      <c r="B163" s="53" t="s">
        <v>232</v>
      </c>
      <c r="C163" s="54">
        <v>204992</v>
      </c>
    </row>
    <row r="164" spans="1:3" ht="21">
      <c r="A164" s="52">
        <v>93</v>
      </c>
      <c r="B164" s="53" t="s">
        <v>233</v>
      </c>
      <c r="C164" s="54">
        <v>6396</v>
      </c>
    </row>
    <row r="165" spans="1:3" ht="21">
      <c r="A165" s="52">
        <v>64</v>
      </c>
      <c r="B165" s="53" t="s">
        <v>234</v>
      </c>
      <c r="C165" s="54">
        <v>21538</v>
      </c>
    </row>
    <row r="166" spans="1:3" ht="21">
      <c r="A166" s="52">
        <v>49</v>
      </c>
      <c r="B166" s="53" t="s">
        <v>235</v>
      </c>
      <c r="C166" s="54">
        <v>30343</v>
      </c>
    </row>
    <row r="167" spans="1:3" ht="21">
      <c r="A167" s="52">
        <v>62</v>
      </c>
      <c r="B167" s="53" t="s">
        <v>236</v>
      </c>
      <c r="C167" s="54">
        <v>22171</v>
      </c>
    </row>
    <row r="168" spans="1:3" ht="21">
      <c r="A168" s="52">
        <v>89</v>
      </c>
      <c r="B168" s="53" t="s">
        <v>237</v>
      </c>
      <c r="C168" s="54">
        <v>8020</v>
      </c>
    </row>
    <row r="169" spans="1:3" ht="21">
      <c r="A169" s="52">
        <v>95</v>
      </c>
      <c r="B169" s="53" t="s">
        <v>238</v>
      </c>
      <c r="C169" s="54">
        <v>5068</v>
      </c>
    </row>
    <row r="170" spans="1:3" ht="21">
      <c r="A170" s="52">
        <v>74</v>
      </c>
      <c r="B170" s="53" t="s">
        <v>239</v>
      </c>
      <c r="C170" s="54">
        <v>16807</v>
      </c>
    </row>
    <row r="171" spans="1:3" ht="21">
      <c r="A171" s="52">
        <v>17</v>
      </c>
      <c r="B171" s="53" t="s">
        <v>240</v>
      </c>
      <c r="C171" s="54">
        <v>78542</v>
      </c>
    </row>
    <row r="172" spans="1:3" ht="21">
      <c r="A172" s="52">
        <v>46</v>
      </c>
      <c r="B172" s="53" t="s">
        <v>241</v>
      </c>
      <c r="C172" s="54">
        <v>32964</v>
      </c>
    </row>
    <row r="173" spans="1:3" ht="21">
      <c r="A173" s="52">
        <v>29</v>
      </c>
      <c r="B173" s="53" t="s">
        <v>242</v>
      </c>
      <c r="C173" s="54">
        <v>53331</v>
      </c>
    </row>
    <row r="174" spans="1:3" ht="21">
      <c r="A174" s="52">
        <v>19</v>
      </c>
      <c r="B174" s="53" t="s">
        <v>243</v>
      </c>
      <c r="C174" s="54">
        <v>70982</v>
      </c>
    </row>
    <row r="175" spans="1:3" ht="21">
      <c r="A175" s="52">
        <v>5</v>
      </c>
      <c r="B175" s="53" t="s">
        <v>244</v>
      </c>
      <c r="C175" s="54">
        <v>324139</v>
      </c>
    </row>
    <row r="176" spans="1:3" ht="21">
      <c r="A176" s="52">
        <v>63</v>
      </c>
      <c r="B176" s="53" t="s">
        <v>245</v>
      </c>
      <c r="C176" s="54">
        <v>22020</v>
      </c>
    </row>
    <row r="177" spans="1:3" ht="21">
      <c r="A177" s="52">
        <v>78</v>
      </c>
      <c r="B177" s="53" t="s">
        <v>246</v>
      </c>
      <c r="C177" s="54">
        <v>14936</v>
      </c>
    </row>
    <row r="178" spans="1:3" ht="21">
      <c r="A178" s="52">
        <v>14</v>
      </c>
      <c r="B178" s="53" t="s">
        <v>247</v>
      </c>
      <c r="C178" s="54">
        <v>98007</v>
      </c>
    </row>
    <row r="179" spans="1:3" ht="21">
      <c r="A179" s="52">
        <v>1</v>
      </c>
      <c r="B179" s="53" t="s">
        <v>264</v>
      </c>
      <c r="C179" s="54">
        <v>936611</v>
      </c>
    </row>
    <row r="180" spans="1:3" ht="21">
      <c r="A180" s="52">
        <v>66</v>
      </c>
      <c r="B180" s="53" t="s">
        <v>248</v>
      </c>
      <c r="C180" s="54">
        <v>19926</v>
      </c>
    </row>
    <row r="181" spans="1:3" ht="21">
      <c r="A181" s="52">
        <v>81</v>
      </c>
      <c r="B181" s="53" t="s">
        <v>249</v>
      </c>
      <c r="C181" s="54">
        <v>13553</v>
      </c>
    </row>
    <row r="182" spans="1:3" ht="21">
      <c r="A182" s="52">
        <v>9</v>
      </c>
      <c r="B182" s="53" t="s">
        <v>250</v>
      </c>
      <c r="C182" s="54">
        <v>157707</v>
      </c>
    </row>
    <row r="183" spans="1:3" ht="21">
      <c r="A183" s="52">
        <v>8</v>
      </c>
      <c r="B183" s="53" t="s">
        <v>251</v>
      </c>
      <c r="C183" s="54">
        <v>187680</v>
      </c>
    </row>
    <row r="184" spans="1:3" ht="21">
      <c r="A184" s="52">
        <v>22</v>
      </c>
      <c r="B184" s="53" t="s">
        <v>252</v>
      </c>
      <c r="C184" s="54">
        <v>61562</v>
      </c>
    </row>
    <row r="185" spans="1:3" ht="21">
      <c r="A185" s="52">
        <v>87</v>
      </c>
      <c r="B185" s="53" t="s">
        <v>253</v>
      </c>
      <c r="C185" s="54">
        <v>10910</v>
      </c>
    </row>
    <row r="186" spans="1:3" ht="21">
      <c r="A186" s="52">
        <v>70</v>
      </c>
      <c r="B186" s="53" t="s">
        <v>254</v>
      </c>
      <c r="C186" s="54">
        <v>17821</v>
      </c>
    </row>
    <row r="187" spans="1:3" ht="21">
      <c r="A187" s="52">
        <v>67</v>
      </c>
      <c r="B187" s="53" t="s">
        <v>255</v>
      </c>
      <c r="C187" s="54">
        <v>19678</v>
      </c>
    </row>
    <row r="188" spans="1:3" ht="21">
      <c r="A188" s="52">
        <v>94</v>
      </c>
      <c r="B188" s="53" t="s">
        <v>256</v>
      </c>
      <c r="C188" s="54">
        <v>5813</v>
      </c>
    </row>
    <row r="189" spans="1:3" ht="21">
      <c r="A189" s="52">
        <v>37</v>
      </c>
      <c r="B189" s="53" t="s">
        <v>257</v>
      </c>
      <c r="C189" s="54">
        <v>40971</v>
      </c>
    </row>
    <row r="190" spans="1:3" ht="21">
      <c r="A190" s="52">
        <v>12</v>
      </c>
      <c r="B190" s="53" t="s">
        <v>258</v>
      </c>
      <c r="C190" s="54">
        <v>128874</v>
      </c>
    </row>
    <row r="191" spans="1:3" ht="21">
      <c r="A191" s="52">
        <v>75</v>
      </c>
      <c r="B191" s="53" t="s">
        <v>259</v>
      </c>
      <c r="C191" s="54">
        <v>16638</v>
      </c>
    </row>
    <row r="192" spans="1:3" ht="21">
      <c r="A192" s="52">
        <v>45</v>
      </c>
      <c r="B192" s="53" t="s">
        <v>260</v>
      </c>
      <c r="C192" s="54">
        <v>33377</v>
      </c>
    </row>
    <row r="193" spans="1:3" ht="21">
      <c r="A193" s="52">
        <v>54</v>
      </c>
      <c r="B193" s="53" t="s">
        <v>261</v>
      </c>
      <c r="C193" s="54">
        <v>27087</v>
      </c>
    </row>
    <row r="194" spans="1:3" ht="21">
      <c r="A194" s="52">
        <v>6</v>
      </c>
      <c r="B194" s="53" t="s">
        <v>262</v>
      </c>
      <c r="C194" s="54">
        <v>232380</v>
      </c>
    </row>
    <row r="195" spans="1:3" ht="21">
      <c r="A195" s="52">
        <v>10</v>
      </c>
      <c r="B195" s="53" t="s">
        <v>263</v>
      </c>
      <c r="C195" s="54">
        <v>140604</v>
      </c>
    </row>
  </sheetData>
  <hyperlinks>
    <hyperlink ref="B179" r:id="rId1" display="https://www.tennessee-demographics.com/shelby-county-demographics" xr:uid="{54F46F1F-1F98-9C41-8ADC-94A027718366}"/>
    <hyperlink ref="B119" r:id="rId2" display="https://www.tennessee-demographics.com/davidson-county-demographics" xr:uid="{83836138-F616-B042-8E51-8DA0DB1D1D2D}"/>
    <hyperlink ref="B147" r:id="rId3" display="https://www.tennessee-demographics.com/knox-county-demographics" xr:uid="{84019620-FC25-A549-AA0A-84B5BD2E7334}"/>
    <hyperlink ref="B133" r:id="rId4" display="https://www.tennessee-demographics.com/hamilton-county-demographics" xr:uid="{17BB1533-8B61-F749-A499-961D35DD6B49}"/>
    <hyperlink ref="B175" r:id="rId5" display="https://www.tennessee-demographics.com/rutherford-county-demographics" xr:uid="{7619CD0C-3891-254F-9648-03B3C9C5CD46}"/>
    <hyperlink ref="B194" r:id="rId6" display="https://www.tennessee-demographics.com/williamson-county-demographics" xr:uid="{48E52EA2-C874-5542-B089-37C2DCB1B761}"/>
    <hyperlink ref="B163" r:id="rId7" display="https://www.tennessee-demographics.com/montgomery-county-demographics" xr:uid="{DFAC4CF5-E9E1-514F-9E52-36B1C84E3F7A}"/>
    <hyperlink ref="B183" r:id="rId8" display="https://www.tennessee-demographics.com/sumner-county-demographics" xr:uid="{579219AF-E0E9-E944-9969-C785B7CB1D2A}"/>
    <hyperlink ref="B182" r:id="rId9" display="https://www.tennessee-demographics.com/sullivan-county-demographics" xr:uid="{3C20DD75-D9D2-1044-92FA-56AE7219124C}"/>
    <hyperlink ref="B195" r:id="rId10" display="https://www.tennessee-demographics.com/wilson-county-demographics" xr:uid="{D21072CE-6E3F-6142-A3DC-170BA72E88B9}"/>
    <hyperlink ref="B105" r:id="rId11" display="https://www.tennessee-demographics.com/blount-county-demographics" xr:uid="{6BE454BE-478E-5F46-BF46-49D74846C665}"/>
    <hyperlink ref="B190" r:id="rId12" display="https://www.tennessee-demographics.com/washington-county-demographics" xr:uid="{7208367A-9FDF-3F4C-9BA0-58E602CCD727}"/>
    <hyperlink ref="B106" r:id="rId13" display="https://www.tennessee-demographics.com/bradley-county-demographics" xr:uid="{AFDC6255-A4EF-D54A-B60B-D01477E2B890}"/>
    <hyperlink ref="B178" r:id="rId14" display="https://www.tennessee-demographics.com/sevier-county-demographics" xr:uid="{D7B85BBE-1C99-1847-B004-2333523DDB9C}"/>
    <hyperlink ref="B155" r:id="rId15" display="https://www.tennessee-demographics.com/madison-county-demographics" xr:uid="{B2D350CC-9D3A-CD4B-9E16-B1EB1F659628}"/>
    <hyperlink ref="B158" r:id="rId16" display="https://www.tennessee-demographics.com/maury-county-demographics" xr:uid="{7756A56E-7D61-F14E-9FF3-C6805471F1D5}"/>
    <hyperlink ref="B171" r:id="rId17" display="https://www.tennessee-demographics.com/putnam-county-demographics" xr:uid="{44E94D03-DB22-964A-B1AA-773F416ECCAF}"/>
    <hyperlink ref="B101" r:id="rId18" display="https://www.tennessee-demographics.com/anderson-county-demographics" xr:uid="{340B0788-0163-284D-9FA6-D47454F350E1}"/>
    <hyperlink ref="B174" r:id="rId19" display="https://www.tennessee-demographics.com/robertson-county-demographics" xr:uid="{F99CC2B1-4C5A-284E-89BE-00BFE5352283}"/>
    <hyperlink ref="B130" r:id="rId20" display="https://www.tennessee-demographics.com/greene-county-demographics" xr:uid="{49FCEB25-C2AA-5F45-A918-182EA52022C0}"/>
    <hyperlink ref="B132" r:id="rId21" display="https://www.tennessee-demographics.com/hamblen-county-demographics" xr:uid="{ED888B1F-61A6-D34F-851B-799222F0AA9B}"/>
    <hyperlink ref="B184" r:id="rId22" display="https://www.tennessee-demographics.com/tipton-county-demographics" xr:uid="{9D036DF2-9901-0A49-AB9C-8E961E32214A}"/>
    <hyperlink ref="B118" r:id="rId23" display="https://www.tennessee-demographics.com/cumberland-county-demographics" xr:uid="{8CD7AB49-E9A7-B24B-BBA4-9C9097E0DC00}"/>
    <hyperlink ref="B137" r:id="rId24" display="https://www.tennessee-demographics.com/hawkins-county-demographics" xr:uid="{6EFE0A24-381E-4048-8886-86507C9F6392}"/>
    <hyperlink ref="B110" r:id="rId25" display="https://www.tennessee-demographics.com/carter-county-demographics" xr:uid="{3F013C26-29BC-C540-B13C-6DC362EBDB70}"/>
    <hyperlink ref="B116" r:id="rId26" display="https://www.tennessee-demographics.com/coffee-county-demographics" xr:uid="{C350EC38-920A-DB40-839A-501F0A957458}"/>
    <hyperlink ref="B145" r:id="rId27" display="https://www.tennessee-demographics.com/jefferson-county-demographics" xr:uid="{76072224-0C0E-D545-95E4-4FE5937503F0}"/>
    <hyperlink ref="B159" r:id="rId28" display="https://www.tennessee-demographics.com/mcminn-county-demographics" xr:uid="{C08B34B5-C37B-7E49-8A9D-36632F175C62}"/>
    <hyperlink ref="B173" r:id="rId29" display="https://www.tennessee-demographics.com/roane-county-demographics" xr:uid="{40F5692F-52C0-E540-99F9-74F8B058CEC8}"/>
    <hyperlink ref="B122" r:id="rId30" display="https://www.tennessee-demographics.com/dickson-county-demographics" xr:uid="{B6A7341E-EA18-A64A-B100-DA975CD93668}"/>
    <hyperlink ref="B153" r:id="rId31" display="https://www.tennessee-demographics.com/loudon-county-demographics" xr:uid="{E7EF969B-9C67-0F44-A0EE-91BA09474662}"/>
    <hyperlink ref="B127" r:id="rId32" display="https://www.tennessee-demographics.com/gibson-county-demographics" xr:uid="{3D9A786F-3D01-2F40-9720-AA135C6B4701}"/>
    <hyperlink ref="B102" r:id="rId33" display="https://www.tennessee-demographics.com/bedford-county-demographics" xr:uid="{EF7FD8B6-B36A-E447-9D93-2CF89461F2AD}"/>
    <hyperlink ref="B162" r:id="rId34" display="https://www.tennessee-demographics.com/monroe-county-demographics" xr:uid="{31EACD60-9861-C649-832B-BF1FB39E5237}"/>
    <hyperlink ref="B150" r:id="rId35" display="https://www.tennessee-demographics.com/lawrence-county-demographics" xr:uid="{9D02CBC0-C23F-9D4F-B431-76D90C5B7637}"/>
    <hyperlink ref="B126" r:id="rId36" display="https://www.tennessee-demographics.com/franklin-county-demographics" xr:uid="{4426CD94-04C2-EE46-8A29-691366EB0F91}"/>
    <hyperlink ref="B189" r:id="rId37" display="https://www.tennessee-demographics.com/warren-county-demographics" xr:uid="{BA8DD008-53DE-A646-B0C5-DFB684434796}"/>
    <hyperlink ref="B124" r:id="rId38" display="https://www.tennessee-demographics.com/fayette-county-demographics" xr:uid="{F687E30D-6C04-7E45-9B27-A8B1B7AB6067}"/>
    <hyperlink ref="B111" r:id="rId39" display="https://www.tennessee-demographics.com/cheatham-county-demographics" xr:uid="{1A72543E-B37D-EF4C-B525-0D8061F31CDD}"/>
    <hyperlink ref="B107" r:id="rId40" display="https://www.tennessee-demographics.com/campbell-county-demographics" xr:uid="{81A84B84-86CF-B945-A592-5637314CDB0D}"/>
    <hyperlink ref="B123" r:id="rId41" display="https://www.tennessee-demographics.com/dyer-county-demographics" xr:uid="{B8D5A6D3-5B6C-4946-B693-9BFE747A1B9F}"/>
    <hyperlink ref="B115" r:id="rId42" display="https://www.tennessee-demographics.com/cocke-county-demographics" xr:uid="{129B41AE-8C3D-BB4E-BB96-7F78E1D1E748}"/>
    <hyperlink ref="B152" r:id="rId43" display="https://www.tennessee-demographics.com/lincoln-county-demographics" xr:uid="{2DF9ABCC-AD91-954B-AB49-25D89B397E7C}"/>
    <hyperlink ref="B157" r:id="rId44" display="https://www.tennessee-demographics.com/marshall-county-demographics" xr:uid="{06FD3EFE-6AB8-0245-81DB-DD7FAB309D87}"/>
    <hyperlink ref="B192" r:id="rId45" display="https://www.tennessee-demographics.com/weakley-county-demographics" xr:uid="{863D63F3-4E6A-0848-8328-64EC55403513}"/>
    <hyperlink ref="B172" r:id="rId46" display="https://www.tennessee-demographics.com/rhea-county-demographics" xr:uid="{2E8D84B5-3EE2-B74C-9587-199A06176589}"/>
    <hyperlink ref="B140" r:id="rId47" display="https://www.tennessee-demographics.com/henry-county-demographics" xr:uid="{3025FF20-5884-7946-AAAA-EE121325CB49}"/>
    <hyperlink ref="B113" r:id="rId48" display="https://www.tennessee-demographics.com/claiborne-county-demographics" xr:uid="{56136BD7-E413-B549-AE43-9A7873198F1D}"/>
    <hyperlink ref="B166" r:id="rId49" display="https://www.tennessee-demographics.com/obion-county-demographics" xr:uid="{968419F6-507F-C841-9E44-60BCCA71E03F}"/>
    <hyperlink ref="B128" r:id="rId50" display="https://www.tennessee-demographics.com/giles-county-demographics" xr:uid="{4E705DB8-E863-6C46-ADD6-61427B02954B}"/>
    <hyperlink ref="B156" r:id="rId51" display="https://www.tennessee-demographics.com/marion-county-demographics" xr:uid="{F63BD159-9FAA-C647-AFC8-16E3C914F6C1}"/>
    <hyperlink ref="B139" r:id="rId52" display="https://www.tennessee-demographics.com/henderson-county-demographics" xr:uid="{688DD0FC-76A3-2740-BFA6-AFC535B7F653}"/>
    <hyperlink ref="B109" r:id="rId53" display="https://www.tennessee-demographics.com/carroll-county-demographics" xr:uid="{ED160224-D0FC-8C4F-8C20-9526D2B20997}"/>
    <hyperlink ref="B193" r:id="rId54" display="https://www.tennessee-demographics.com/white-county-demographics" xr:uid="{749A7784-C855-7B42-9C74-D4189392A2EC}"/>
    <hyperlink ref="B160" r:id="rId55" display="https://www.tennessee-demographics.com/mcnairy-county-demographics" xr:uid="{EAFA3766-D3DE-7C45-A1C3-2391B31229CF}"/>
    <hyperlink ref="B149" r:id="rId56" display="https://www.tennessee-demographics.com/lauderdale-county-demographics" xr:uid="{90F2E1D0-6810-BD44-B408-1B7A04EF2367}"/>
    <hyperlink ref="B136" r:id="rId57" display="https://www.tennessee-demographics.com/hardin-county-demographics" xr:uid="{776176BC-2BFA-8842-845E-DD86524536B9}"/>
    <hyperlink ref="B135" r:id="rId58" display="https://www.tennessee-demographics.com/hardeman-county-demographics" xr:uid="{E7912A8F-FBD5-3E45-B286-8A31E5FBC6FA}"/>
    <hyperlink ref="B141" r:id="rId59" display="https://www.tennessee-demographics.com/hickman-county-demographics" xr:uid="{F9E979EA-F648-AF41-909C-5CD141733B18}"/>
    <hyperlink ref="B154" r:id="rId60" display="https://www.tennessee-demographics.com/macon-county-demographics" xr:uid="{3AC2D254-D443-7441-80B7-A82FD29BF02F}"/>
    <hyperlink ref="B129" r:id="rId61" display="https://www.tennessee-demographics.com/grainger-county-demographics" xr:uid="{32AFB35F-179C-E242-8FF9-2F6B8A246519}"/>
    <hyperlink ref="B167" r:id="rId62" display="https://www.tennessee-demographics.com/overton-county-demographics" xr:uid="{6891B7C5-C8BC-6349-84C6-7270DA7E7B69}"/>
    <hyperlink ref="B176" r:id="rId63" display="https://www.tennessee-demographics.com/scott-county-demographics" xr:uid="{370CDF28-D69E-C04A-A5E0-B5A8851944F6}"/>
    <hyperlink ref="B165" r:id="rId64" display="https://www.tennessee-demographics.com/morgan-county-demographics" xr:uid="{CBFC70F9-A0D6-EB40-8E8F-5AFFB19566DC}"/>
    <hyperlink ref="B121" r:id="rId65" display="https://www.tennessee-demographics.com/dekalb-county-demographics" xr:uid="{3A7ADFA3-CC9A-B44D-818A-315F91593EFF}"/>
    <hyperlink ref="B180" r:id="rId66" display="https://www.tennessee-demographics.com/smith-county-demographics" xr:uid="{287CE09A-9C80-3A47-B973-1FE899A16B7E}"/>
    <hyperlink ref="B187" r:id="rId67" display="https://www.tennessee-demographics.com/union-county-demographics" xr:uid="{E46D83FA-B31F-8242-9827-912AB1B6430A}"/>
    <hyperlink ref="B143" r:id="rId68" display="https://www.tennessee-demographics.com/humphreys-county-demographics" xr:uid="{7FCEC698-AEB4-8140-9896-8CDCE435D7AF}"/>
    <hyperlink ref="B125" r:id="rId69" display="https://www.tennessee-demographics.com/fentress-county-demographics" xr:uid="{610CFE4C-0467-5545-B526-7FCBA68C3935}"/>
    <hyperlink ref="B186" r:id="rId70" display="https://www.tennessee-demographics.com/unicoi-county-demographics" xr:uid="{F6726FDE-9F30-4D4D-B584-CEDE30274072}"/>
    <hyperlink ref="B146" r:id="rId71" display="https://www.tennessee-demographics.com/johnson-county-demographics" xr:uid="{F6E288C5-4700-3441-907A-1FD7DFD17324}"/>
    <hyperlink ref="B138" r:id="rId72" display="https://www.tennessee-demographics.com/haywood-county-demographics" xr:uid="{31D53128-F48D-374B-82FA-7A5367D527FB}"/>
    <hyperlink ref="B112" r:id="rId73" display="https://www.tennessee-demographics.com/chester-county-demographics" xr:uid="{440567D6-C899-624E-A8AD-FEF7472D8289}"/>
    <hyperlink ref="B170" r:id="rId74" display="https://www.tennessee-demographics.com/polk-county-demographics" xr:uid="{F763C09F-8AD8-FC44-AA93-D2C259001C39}"/>
    <hyperlink ref="B191" r:id="rId75" display="https://www.tennessee-demographics.com/wayne-county-demographics" xr:uid="{33D8BABE-5EB8-8E4D-BC43-EC4EA3BACC68}"/>
    <hyperlink ref="B103" r:id="rId76" display="https://www.tennessee-demographics.com/benton-county-demographics" xr:uid="{ECE81D0F-3B51-DC4E-A3A8-E9E6CDD1894D}"/>
    <hyperlink ref="B104" r:id="rId77" display="https://www.tennessee-demographics.com/bledsoe-county-demographics" xr:uid="{5789958B-EEE6-8845-AC78-AB9491A52101}"/>
    <hyperlink ref="B177" r:id="rId78" display="https://www.tennessee-demographics.com/sequatchie-county-demographics" xr:uid="{8D079E33-879F-E249-992E-BFAD16AAC2EC}"/>
    <hyperlink ref="B108" r:id="rId79" display="https://www.tennessee-demographics.com/cannon-county-demographics" xr:uid="{391258C8-6B9B-834B-AF49-0DB13ED9F2C8}"/>
    <hyperlink ref="B117" r:id="rId80" display="https://www.tennessee-demographics.com/crockett-county-demographics" xr:uid="{532E69F2-5835-524C-BAEE-4255D7D8C4C5}"/>
    <hyperlink ref="B181" r:id="rId81" display="https://www.tennessee-demographics.com/stewart-county-demographics" xr:uid="{057AB991-2398-2242-A2B2-647B0EE9D84E}"/>
    <hyperlink ref="B131" r:id="rId82" display="https://www.tennessee-demographics.com/grundy-county-demographics" xr:uid="{C04819F0-BE64-7241-AE19-1959858E6A82}"/>
    <hyperlink ref="B161" r:id="rId83" display="https://www.tennessee-demographics.com/meigs-county-demographics" xr:uid="{8857B46B-EBDC-754C-A899-01B891CD3DA2}"/>
    <hyperlink ref="B151" r:id="rId84" display="https://www.tennessee-demographics.com/lewis-county-demographics" xr:uid="{08916B7C-3794-2645-9D73-AD3245BD3D88}"/>
    <hyperlink ref="B144" r:id="rId85" display="https://www.tennessee-demographics.com/jackson-county-demographics" xr:uid="{2925564F-C5E0-4641-BF02-BC623C8F27BC}"/>
    <hyperlink ref="B120" r:id="rId86" display="https://www.tennessee-demographics.com/decatur-county-demographics" xr:uid="{7DA4AD70-0069-FD4E-A871-EA7FE4EE1E71}"/>
    <hyperlink ref="B185" r:id="rId87" display="https://www.tennessee-demographics.com/trousdale-county-demographics" xr:uid="{54FFAA2F-F49F-2B40-93A8-11E242A9299E}"/>
    <hyperlink ref="B142" r:id="rId88" display="https://www.tennessee-demographics.com/houston-county-demographics" xr:uid="{920B93F5-C823-BA45-A6F6-259028A13F17}"/>
    <hyperlink ref="B168" r:id="rId89" display="https://www.tennessee-demographics.com/perry-county-demographics" xr:uid="{FE5F9ED5-5E28-AA4E-AD62-51D6EE56FD2A}"/>
    <hyperlink ref="B114" r:id="rId90" display="https://www.tennessee-demographics.com/clay-county-demographics" xr:uid="{7303AB79-BECE-7544-917C-4869FB00DF13}"/>
    <hyperlink ref="B148" r:id="rId91" display="https://www.tennessee-demographics.com/lake-county-demographics" xr:uid="{FC8FC98E-5BED-E840-AD81-4CC826A48A93}"/>
    <hyperlink ref="B134" r:id="rId92" display="https://www.tennessee-demographics.com/hancock-county-demographics" xr:uid="{69546C0D-891E-DE44-AE40-A3ED1AD51FCF}"/>
    <hyperlink ref="B164" r:id="rId93" display="https://www.tennessee-demographics.com/moore-county-demographics" xr:uid="{70A36B83-92A7-214E-8404-8865DCB5F4CB}"/>
    <hyperlink ref="B188" r:id="rId94" display="https://www.tennessee-demographics.com/van-buren-county-demographics" xr:uid="{E5ED2677-D389-4146-925B-96564C319323}"/>
    <hyperlink ref="B169" r:id="rId95" display="https://www.tennessee-demographics.com/pickett-county-demographics" xr:uid="{BE1F52DF-8060-684B-B08F-7EC38C890FC6}"/>
  </hyperlinks>
  <pageMargins left="0.7" right="0.7" top="0.75" bottom="0.75" header="0.3" footer="0.3"/>
  <tableParts count="3">
    <tablePart r:id="rId96"/>
    <tablePart r:id="rId97"/>
    <tablePart r:id="rId98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9719-473E-6046-9C1D-9328EE770C7F}">
  <dimension ref="A1:S45"/>
  <sheetViews>
    <sheetView topLeftCell="C1" workbookViewId="0">
      <selection activeCell="R2" sqref="R2:R4"/>
    </sheetView>
  </sheetViews>
  <sheetFormatPr baseColWidth="10" defaultRowHeight="13"/>
  <cols>
    <col min="2" max="2" width="12.83203125" customWidth="1"/>
    <col min="3" max="3" width="17.33203125" customWidth="1"/>
    <col min="6" max="6" width="10.83203125" style="1"/>
    <col min="8" max="8" width="26" bestFit="1" customWidth="1"/>
    <col min="9" max="9" width="17.33203125" customWidth="1"/>
    <col min="10" max="10" width="12" style="1" customWidth="1"/>
    <col min="11" max="11" width="14.5" customWidth="1"/>
    <col min="12" max="12" width="18.33203125" customWidth="1"/>
    <col min="13" max="13" width="18.33203125" style="1" customWidth="1"/>
    <col min="14" max="14" width="15.5" customWidth="1"/>
    <col min="15" max="15" width="10.33203125" customWidth="1"/>
    <col min="16" max="16" width="13.83203125" style="1" customWidth="1"/>
    <col min="17" max="17" width="14.6640625" bestFit="1" customWidth="1"/>
    <col min="18" max="18" width="12.1640625" bestFit="1" customWidth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s="44" t="s">
        <v>1686</v>
      </c>
      <c r="H1" s="15" t="s">
        <v>165</v>
      </c>
      <c r="I1" s="15" t="s">
        <v>168</v>
      </c>
      <c r="J1" s="15" t="s">
        <v>1689</v>
      </c>
      <c r="K1" s="15" t="s">
        <v>169</v>
      </c>
      <c r="L1" s="15" t="s">
        <v>166</v>
      </c>
      <c r="M1" s="15" t="s">
        <v>1690</v>
      </c>
      <c r="N1" s="15" t="s">
        <v>167</v>
      </c>
      <c r="O1" t="s">
        <v>62</v>
      </c>
      <c r="R1" s="15" t="s">
        <v>267</v>
      </c>
      <c r="S1" s="15" t="s">
        <v>328</v>
      </c>
    </row>
    <row r="2" spans="1:19" ht="20">
      <c r="A2" s="30" t="s">
        <v>69</v>
      </c>
      <c r="B2" s="31" t="s">
        <v>802</v>
      </c>
      <c r="C2" s="30">
        <v>2019</v>
      </c>
      <c r="D2" s="30" t="s">
        <v>803</v>
      </c>
      <c r="E2" s="30">
        <v>81.477209999999999</v>
      </c>
      <c r="F2" s="31">
        <f>E2/(MAX(E:E)-MIN(E:E))</f>
        <v>1.0460967238641476</v>
      </c>
      <c r="H2" s="16" t="s">
        <v>785</v>
      </c>
      <c r="I2" s="17">
        <v>73808</v>
      </c>
      <c r="J2" s="80">
        <f t="shared" ref="J2:J22" si="0">I2/C25</f>
        <v>0.27888909880974871</v>
      </c>
      <c r="K2" s="18">
        <v>0.52700000000000002</v>
      </c>
      <c r="L2" s="17">
        <v>64438</v>
      </c>
      <c r="M2" s="80">
        <f>Table41[[#This Row],[TRUMP VOTES]]/C25</f>
        <v>0.24348384658983563</v>
      </c>
      <c r="N2" s="18">
        <v>0.46</v>
      </c>
      <c r="O2" s="82">
        <f>1-(Table41[[#This Row],[NdP]]+Table41[[#This Row],[NdP2]])</f>
        <v>0.47762705460041566</v>
      </c>
      <c r="Q2" s="81" t="s">
        <v>1672</v>
      </c>
      <c r="R2" s="88">
        <f>CORREL(F:F,J:J)</f>
        <v>-0.43564181692809567</v>
      </c>
      <c r="S2" s="81">
        <v>0.1</v>
      </c>
    </row>
    <row r="3" spans="1:19" ht="20">
      <c r="A3" s="32" t="s">
        <v>69</v>
      </c>
      <c r="B3" s="33" t="s">
        <v>804</v>
      </c>
      <c r="C3" s="32">
        <v>2019</v>
      </c>
      <c r="D3" s="32" t="s">
        <v>803</v>
      </c>
      <c r="E3" s="32">
        <v>27.24277</v>
      </c>
      <c r="F3" s="31">
        <f t="shared" ref="F3:F22" si="1">E3/(MAX(E:E)-MIN(E:E))</f>
        <v>0.34977354337469935</v>
      </c>
      <c r="H3" s="16" t="s">
        <v>786</v>
      </c>
      <c r="I3" s="17">
        <v>285967</v>
      </c>
      <c r="J3" s="80">
        <f t="shared" si="0"/>
        <v>0.30707041421706799</v>
      </c>
      <c r="K3" s="18">
        <v>0.57699999999999996</v>
      </c>
      <c r="L3" s="17">
        <v>204417</v>
      </c>
      <c r="M3" s="80">
        <f>Table41[[#This Row],[TRUMP VOTES]]/C26</f>
        <v>0.21950229524039624</v>
      </c>
      <c r="N3" s="18">
        <v>0.41199999999999998</v>
      </c>
      <c r="O3" s="82">
        <f>1-(Table41[[#This Row],[NdP]]+Table41[[#This Row],[NdP2]])</f>
        <v>0.47342729054253574</v>
      </c>
      <c r="Q3" s="81" t="s">
        <v>1671</v>
      </c>
      <c r="R3" s="89">
        <f>CORREL(F:F,M:M)</f>
        <v>0.12667699500237198</v>
      </c>
      <c r="S3" s="81">
        <v>0.1</v>
      </c>
    </row>
    <row r="4" spans="1:19" ht="20">
      <c r="A4" s="30" t="s">
        <v>69</v>
      </c>
      <c r="B4" s="31" t="s">
        <v>805</v>
      </c>
      <c r="C4" s="30">
        <v>2019</v>
      </c>
      <c r="D4" s="30" t="s">
        <v>803</v>
      </c>
      <c r="E4" s="30">
        <v>57.379089999999998</v>
      </c>
      <c r="F4" s="31">
        <f t="shared" si="1"/>
        <v>0.73669775962267336</v>
      </c>
      <c r="H4" s="16" t="s">
        <v>787</v>
      </c>
      <c r="I4" s="17">
        <v>154595</v>
      </c>
      <c r="J4" s="80">
        <f t="shared" si="0"/>
        <v>0.34639178491645772</v>
      </c>
      <c r="K4" s="18">
        <v>0.59099999999999997</v>
      </c>
      <c r="L4" s="17">
        <v>103345</v>
      </c>
      <c r="M4" s="80">
        <f>Table41[[#This Row],[TRUMP VOTES]]/C27</f>
        <v>0.23155897029135045</v>
      </c>
      <c r="N4" s="18">
        <v>0.39500000000000002</v>
      </c>
      <c r="O4" s="82">
        <f>1-(Table41[[#This Row],[NdP]]+Table41[[#This Row],[NdP2]])</f>
        <v>0.42204924479219186</v>
      </c>
      <c r="Q4" s="81" t="s">
        <v>1679</v>
      </c>
      <c r="R4" s="89">
        <f>CORREL(F:F,O:O)</f>
        <v>0.10249352734760073</v>
      </c>
      <c r="S4" s="81">
        <v>0.1</v>
      </c>
    </row>
    <row r="5" spans="1:19" ht="20">
      <c r="A5" s="32" t="s">
        <v>69</v>
      </c>
      <c r="B5" s="33" t="s">
        <v>806</v>
      </c>
      <c r="C5" s="32">
        <v>2019</v>
      </c>
      <c r="D5" s="32" t="s">
        <v>803</v>
      </c>
      <c r="E5" s="32">
        <v>73.794240000000002</v>
      </c>
      <c r="F5" s="31">
        <f t="shared" si="1"/>
        <v>0.94745405131133786</v>
      </c>
      <c r="H5" s="16" t="s">
        <v>788</v>
      </c>
      <c r="I5" s="17">
        <v>175065</v>
      </c>
      <c r="J5" s="80">
        <f t="shared" si="0"/>
        <v>0.34548597749057175</v>
      </c>
      <c r="K5" s="18">
        <v>0.66200000000000003</v>
      </c>
      <c r="L5" s="17">
        <v>86207</v>
      </c>
      <c r="M5" s="80">
        <f>Table41[[#This Row],[TRUMP VOTES]]/C28</f>
        <v>0.17012715083842983</v>
      </c>
      <c r="N5" s="18">
        <v>0.32600000000000001</v>
      </c>
      <c r="O5" s="82">
        <f>1-(Table41[[#This Row],[NdP]]+Table41[[#This Row],[NdP2]])</f>
        <v>0.48438687167099848</v>
      </c>
      <c r="Q5" s="81"/>
      <c r="R5" s="81"/>
      <c r="S5" s="81"/>
    </row>
    <row r="6" spans="1:19" ht="20">
      <c r="A6" s="30" t="s">
        <v>69</v>
      </c>
      <c r="B6" s="31" t="s">
        <v>807</v>
      </c>
      <c r="C6" s="30">
        <v>2019</v>
      </c>
      <c r="D6" s="30" t="s">
        <v>803</v>
      </c>
      <c r="E6" s="30">
        <v>88.965519999999998</v>
      </c>
      <c r="F6" s="31">
        <f t="shared" si="1"/>
        <v>1.1422401308153569</v>
      </c>
      <c r="H6" s="16" t="s">
        <v>789</v>
      </c>
      <c r="I6" s="17">
        <v>23941</v>
      </c>
      <c r="J6" s="80">
        <f t="shared" si="0"/>
        <v>0.25826042869008964</v>
      </c>
      <c r="K6" s="18">
        <v>0.41499999999999998</v>
      </c>
      <c r="L6" s="17">
        <v>33158</v>
      </c>
      <c r="M6" s="80">
        <f>Table41[[#This Row],[TRUMP VOTES]]/C29</f>
        <v>0.35768761933528226</v>
      </c>
      <c r="N6" s="18">
        <v>0.57499999999999996</v>
      </c>
      <c r="O6" s="82">
        <f>1-(Table41[[#This Row],[NdP]]+Table41[[#This Row],[NdP2]])</f>
        <v>0.38405195197462816</v>
      </c>
      <c r="Q6" s="81"/>
      <c r="R6" s="81"/>
      <c r="S6" s="81"/>
    </row>
    <row r="7" spans="1:19" ht="20">
      <c r="A7" s="32" t="s">
        <v>69</v>
      </c>
      <c r="B7" s="33" t="s">
        <v>88</v>
      </c>
      <c r="C7" s="32">
        <v>2019</v>
      </c>
      <c r="D7" s="32" t="s">
        <v>803</v>
      </c>
      <c r="E7" s="32">
        <v>105.12965</v>
      </c>
      <c r="F7" s="31">
        <f t="shared" si="1"/>
        <v>1.3497735433746993</v>
      </c>
      <c r="H7" s="16" t="s">
        <v>187</v>
      </c>
      <c r="I7" s="17">
        <v>32742</v>
      </c>
      <c r="J7" s="80">
        <f t="shared" si="0"/>
        <v>0.21815637805243696</v>
      </c>
      <c r="K7" s="18">
        <v>0.52500000000000002</v>
      </c>
      <c r="L7" s="17">
        <v>28952</v>
      </c>
      <c r="M7" s="80">
        <f>Table41[[#This Row],[TRUMP VOTES]]/C30</f>
        <v>0.19290402105473564</v>
      </c>
      <c r="N7" s="18">
        <v>0.46400000000000002</v>
      </c>
      <c r="O7" s="82">
        <f>1-(Table41[[#This Row],[NdP]]+Table41[[#This Row],[NdP2]])</f>
        <v>0.58893960089282738</v>
      </c>
      <c r="Q7" s="81"/>
      <c r="R7" s="81"/>
      <c r="S7" s="81"/>
    </row>
    <row r="8" spans="1:19" ht="20">
      <c r="A8" s="30" t="s">
        <v>69</v>
      </c>
      <c r="B8" s="31" t="s">
        <v>808</v>
      </c>
      <c r="C8" s="30">
        <v>2019</v>
      </c>
      <c r="D8" s="30" t="s">
        <v>803</v>
      </c>
      <c r="E8" s="30">
        <v>57.984020000000001</v>
      </c>
      <c r="F8" s="31">
        <f t="shared" si="1"/>
        <v>0.74446453626079268</v>
      </c>
      <c r="H8" s="16" t="s">
        <v>790</v>
      </c>
      <c r="I8" s="17">
        <v>266820</v>
      </c>
      <c r="J8" s="80">
        <f t="shared" si="0"/>
        <v>0.3340686968040486</v>
      </c>
      <c r="K8" s="18">
        <v>0.77300000000000002</v>
      </c>
      <c r="L8" s="17">
        <v>75475</v>
      </c>
      <c r="M8" s="80">
        <f>Table41[[#This Row],[TRUMP VOTES]]/C31</f>
        <v>9.4497544754087281E-2</v>
      </c>
      <c r="N8" s="18">
        <v>0.219</v>
      </c>
      <c r="O8" s="82">
        <f>1-(Table41[[#This Row],[NdP]]+Table41[[#This Row],[NdP2]])</f>
        <v>0.57143375844186406</v>
      </c>
      <c r="Q8" s="81"/>
      <c r="R8" s="81"/>
      <c r="S8" s="81"/>
    </row>
    <row r="9" spans="1:19" ht="20">
      <c r="A9" s="32" t="s">
        <v>69</v>
      </c>
      <c r="B9" s="33" t="s">
        <v>809</v>
      </c>
      <c r="C9" s="32">
        <v>2019</v>
      </c>
      <c r="D9" s="32" t="s">
        <v>803</v>
      </c>
      <c r="E9" s="32">
        <v>66.657160000000005</v>
      </c>
      <c r="F9" s="31">
        <f t="shared" si="1"/>
        <v>0.85582013299287396</v>
      </c>
      <c r="H9" s="16" t="s">
        <v>791</v>
      </c>
      <c r="I9" s="17">
        <v>86702</v>
      </c>
      <c r="J9" s="80">
        <f t="shared" si="0"/>
        <v>0.29718418481893433</v>
      </c>
      <c r="K9" s="18">
        <v>0.502</v>
      </c>
      <c r="L9" s="17">
        <v>83340</v>
      </c>
      <c r="M9" s="80">
        <f>Table41[[#This Row],[TRUMP VOTES]]/C32</f>
        <v>0.28566042262935099</v>
      </c>
      <c r="N9" s="18">
        <v>0.48299999999999998</v>
      </c>
      <c r="O9" s="82">
        <f>1-(Table41[[#This Row],[NdP]]+Table41[[#This Row],[NdP2]])</f>
        <v>0.41715539255171463</v>
      </c>
    </row>
    <row r="10" spans="1:19" ht="20">
      <c r="A10" s="30" t="s">
        <v>69</v>
      </c>
      <c r="B10" s="31" t="s">
        <v>810</v>
      </c>
      <c r="C10" s="30">
        <v>2019</v>
      </c>
      <c r="D10" s="30" t="s">
        <v>803</v>
      </c>
      <c r="E10" s="30">
        <v>46.841970000000003</v>
      </c>
      <c r="F10" s="31">
        <f t="shared" si="1"/>
        <v>0.60141027603108521</v>
      </c>
      <c r="H10" s="16" t="s">
        <v>792</v>
      </c>
      <c r="I10" s="17">
        <v>181452</v>
      </c>
      <c r="J10" s="80">
        <f t="shared" si="0"/>
        <v>0.27004880023455069</v>
      </c>
      <c r="K10" s="18">
        <v>0.72599999999999998</v>
      </c>
      <c r="L10" s="17">
        <v>65698</v>
      </c>
      <c r="M10" s="80">
        <f>Table41[[#This Row],[TRUMP VOTES]]/C33</f>
        <v>9.777608446205889E-2</v>
      </c>
      <c r="N10" s="18">
        <v>0.26300000000000001</v>
      </c>
      <c r="O10" s="82">
        <f>1-(Table41[[#This Row],[NdP]]+Table41[[#This Row],[NdP2]])</f>
        <v>0.63217511530339043</v>
      </c>
    </row>
    <row r="11" spans="1:19" ht="20">
      <c r="A11" s="32" t="s">
        <v>69</v>
      </c>
      <c r="B11" s="33" t="s">
        <v>811</v>
      </c>
      <c r="C11" s="32">
        <v>2019</v>
      </c>
      <c r="D11" s="32" t="s">
        <v>803</v>
      </c>
      <c r="E11" s="32">
        <v>35.382930000000002</v>
      </c>
      <c r="F11" s="31">
        <f t="shared" si="1"/>
        <v>0.45428613907759569</v>
      </c>
      <c r="H11" s="16" t="s">
        <v>793</v>
      </c>
      <c r="I11" s="17">
        <v>39457</v>
      </c>
      <c r="J11" s="80">
        <f t="shared" si="0"/>
        <v>0.31549698951728328</v>
      </c>
      <c r="K11" s="18">
        <v>0.46800000000000003</v>
      </c>
      <c r="L11" s="17">
        <v>43153</v>
      </c>
      <c r="M11" s="80">
        <f>Table41[[#This Row],[TRUMP VOTES]]/C34</f>
        <v>0.34505009475224485</v>
      </c>
      <c r="N11" s="18">
        <v>0.51200000000000001</v>
      </c>
      <c r="O11" s="82">
        <f>1-(Table41[[#This Row],[NdP]]+Table41[[#This Row],[NdP2]])</f>
        <v>0.33945291573047187</v>
      </c>
    </row>
    <row r="12" spans="1:19" ht="20">
      <c r="A12" s="30" t="s">
        <v>69</v>
      </c>
      <c r="B12" s="31" t="s">
        <v>812</v>
      </c>
      <c r="C12" s="30">
        <v>2019</v>
      </c>
      <c r="D12" s="30" t="s">
        <v>803</v>
      </c>
      <c r="E12" s="30">
        <v>57.095640000000003</v>
      </c>
      <c r="F12" s="31">
        <f t="shared" si="1"/>
        <v>0.73305850741485612</v>
      </c>
      <c r="H12" s="16" t="s">
        <v>794</v>
      </c>
      <c r="I12" s="17">
        <v>122532</v>
      </c>
      <c r="J12" s="80">
        <f t="shared" si="0"/>
        <v>0.33289050083540489</v>
      </c>
      <c r="K12" s="18">
        <v>0.69399999999999995</v>
      </c>
      <c r="L12" s="17">
        <v>51641</v>
      </c>
      <c r="M12" s="80">
        <f>Table41[[#This Row],[TRUMP VOTES]]/C35</f>
        <v>0.14029639892959506</v>
      </c>
      <c r="N12" s="18">
        <v>0.29199999999999998</v>
      </c>
      <c r="O12" s="82">
        <f>1-(Table41[[#This Row],[NdP]]+Table41[[#This Row],[NdP2]])</f>
        <v>0.52681310023500005</v>
      </c>
    </row>
    <row r="13" spans="1:19" ht="20">
      <c r="A13" s="32" t="s">
        <v>69</v>
      </c>
      <c r="B13" s="33" t="s">
        <v>813</v>
      </c>
      <c r="C13" s="32">
        <v>2019</v>
      </c>
      <c r="D13" s="32" t="s">
        <v>803</v>
      </c>
      <c r="E13" s="32">
        <v>37.949129999999997</v>
      </c>
      <c r="F13" s="31">
        <f t="shared" si="1"/>
        <v>0.48723392181070807</v>
      </c>
      <c r="H13" s="16" t="s">
        <v>795</v>
      </c>
      <c r="I13" s="17">
        <v>226250</v>
      </c>
      <c r="J13" s="80">
        <f t="shared" si="0"/>
        <v>0.27423743810718593</v>
      </c>
      <c r="K13" s="18">
        <v>0.60399999999999998</v>
      </c>
      <c r="L13" s="17">
        <v>143467</v>
      </c>
      <c r="M13" s="80">
        <f>Table41[[#This Row],[TRUMP VOTES]]/C36</f>
        <v>0.17389623218971775</v>
      </c>
      <c r="N13" s="18">
        <v>0.38300000000000001</v>
      </c>
      <c r="O13" s="82">
        <f>1-(Table41[[#This Row],[NdP]]+Table41[[#This Row],[NdP2]])</f>
        <v>0.55186632970309635</v>
      </c>
    </row>
    <row r="14" spans="1:19" ht="20">
      <c r="A14" s="30" t="s">
        <v>69</v>
      </c>
      <c r="B14" s="31" t="s">
        <v>814</v>
      </c>
      <c r="C14" s="30">
        <v>2019</v>
      </c>
      <c r="D14" s="30" t="s">
        <v>803</v>
      </c>
      <c r="E14" s="30">
        <v>41.912649999999999</v>
      </c>
      <c r="F14" s="31">
        <f t="shared" si="1"/>
        <v>0.53812208166510211</v>
      </c>
      <c r="H14" s="16" t="s">
        <v>796</v>
      </c>
      <c r="I14" s="17">
        <v>181291</v>
      </c>
      <c r="J14" s="80">
        <f t="shared" si="0"/>
        <v>0.29201815015922467</v>
      </c>
      <c r="K14" s="18">
        <v>0.47899999999999998</v>
      </c>
      <c r="L14" s="17">
        <v>191808</v>
      </c>
      <c r="M14" s="80">
        <f>Table41[[#This Row],[TRUMP VOTES]]/C37</f>
        <v>0.30895862092293913</v>
      </c>
      <c r="N14" s="18">
        <v>0.50700000000000001</v>
      </c>
      <c r="O14" s="82">
        <f>1-(Table41[[#This Row],[NdP]]+Table41[[#This Row],[NdP2]])</f>
        <v>0.39902322891783615</v>
      </c>
    </row>
    <row r="15" spans="1:19" ht="20">
      <c r="A15" s="32" t="s">
        <v>69</v>
      </c>
      <c r="B15" s="33" t="s">
        <v>711</v>
      </c>
      <c r="C15" s="32">
        <v>2019</v>
      </c>
      <c r="D15" s="32" t="s">
        <v>803</v>
      </c>
      <c r="E15" s="32">
        <v>30.680060000000001</v>
      </c>
      <c r="F15" s="31">
        <f t="shared" si="1"/>
        <v>0.39390536634668127</v>
      </c>
      <c r="H15" s="16" t="s">
        <v>483</v>
      </c>
      <c r="I15" s="17">
        <v>153881</v>
      </c>
      <c r="J15" s="80">
        <f t="shared" si="0"/>
        <v>0.31231239154480783</v>
      </c>
      <c r="K15" s="18">
        <v>0.51400000000000001</v>
      </c>
      <c r="L15" s="17">
        <v>141134</v>
      </c>
      <c r="M15" s="80">
        <f>Table41[[#This Row],[TRUMP VOTES]]/C38</f>
        <v>0.28644145195498411</v>
      </c>
      <c r="N15" s="18">
        <v>0.47199999999999998</v>
      </c>
      <c r="O15" s="82">
        <f>1-(Table41[[#This Row],[NdP]]+Table41[[#This Row],[NdP2]])</f>
        <v>0.40124615650020812</v>
      </c>
    </row>
    <row r="16" spans="1:19" ht="20">
      <c r="A16" s="30" t="s">
        <v>69</v>
      </c>
      <c r="B16" s="31" t="s">
        <v>815</v>
      </c>
      <c r="C16" s="30">
        <v>2019</v>
      </c>
      <c r="D16" s="30" t="s">
        <v>803</v>
      </c>
      <c r="E16" s="30">
        <v>44.79515</v>
      </c>
      <c r="F16" s="31">
        <f t="shared" si="1"/>
        <v>0.57513088212032637</v>
      </c>
      <c r="H16" s="16" t="s">
        <v>797</v>
      </c>
      <c r="I16" s="17">
        <v>119456</v>
      </c>
      <c r="J16" s="80">
        <f t="shared" si="0"/>
        <v>0.1984259606855609</v>
      </c>
      <c r="K16" s="18">
        <v>0.35</v>
      </c>
      <c r="L16" s="17">
        <v>217740</v>
      </c>
      <c r="M16" s="80">
        <f>Table41[[#This Row],[TRUMP VOTES]]/C39</f>
        <v>0.3616835377015305</v>
      </c>
      <c r="N16" s="18">
        <v>0.63800000000000001</v>
      </c>
      <c r="O16" s="82">
        <f>1-(Table41[[#This Row],[NdP]]+Table41[[#This Row],[NdP2]])</f>
        <v>0.43989050161290866</v>
      </c>
    </row>
    <row r="17" spans="1:15" ht="20">
      <c r="A17" s="32" t="s">
        <v>69</v>
      </c>
      <c r="B17" s="33" t="s">
        <v>816</v>
      </c>
      <c r="C17" s="32">
        <v>2019</v>
      </c>
      <c r="D17" s="32" t="s">
        <v>803</v>
      </c>
      <c r="E17" s="32">
        <v>56.109160000000003</v>
      </c>
      <c r="F17" s="31">
        <f t="shared" si="1"/>
        <v>0.72039295963582073</v>
      </c>
      <c r="H17" s="16" t="s">
        <v>798</v>
      </c>
      <c r="I17" s="17">
        <v>129097</v>
      </c>
      <c r="J17" s="80">
        <f t="shared" si="0"/>
        <v>0.25677506101284303</v>
      </c>
      <c r="K17" s="18">
        <v>0.57699999999999996</v>
      </c>
      <c r="L17" s="17">
        <v>92009</v>
      </c>
      <c r="M17" s="80">
        <f>Table41[[#This Row],[TRUMP VOTES]]/C40</f>
        <v>0.18300670494845483</v>
      </c>
      <c r="N17" s="18">
        <v>0.41099999999999998</v>
      </c>
      <c r="O17" s="82">
        <f>1-(Table41[[#This Row],[NdP]]+Table41[[#This Row],[NdP2]])</f>
        <v>0.56021823403870208</v>
      </c>
    </row>
    <row r="18" spans="1:15" ht="20">
      <c r="A18" s="30" t="s">
        <v>69</v>
      </c>
      <c r="B18" s="31" t="s">
        <v>817</v>
      </c>
      <c r="C18" s="30">
        <v>2019</v>
      </c>
      <c r="D18" s="30" t="s">
        <v>803</v>
      </c>
      <c r="E18" s="30">
        <v>98.920050000000003</v>
      </c>
      <c r="F18" s="31">
        <f t="shared" si="1"/>
        <v>1.2700476639968119</v>
      </c>
      <c r="H18" s="16" t="s">
        <v>799</v>
      </c>
      <c r="I18" s="17">
        <v>14479</v>
      </c>
      <c r="J18" s="80">
        <f t="shared" si="0"/>
        <v>0.2307263282021863</v>
      </c>
      <c r="K18" s="18">
        <v>0.42699999999999999</v>
      </c>
      <c r="L18" s="17">
        <v>18827</v>
      </c>
      <c r="M18" s="80">
        <f>Table41[[#This Row],[TRUMP VOTES]]/C41</f>
        <v>0.30001274819135038</v>
      </c>
      <c r="N18" s="18">
        <v>0.55500000000000005</v>
      </c>
      <c r="O18" s="82">
        <f>1-(Table41[[#This Row],[NdP]]+Table41[[#This Row],[NdP2]])</f>
        <v>0.46926092360646332</v>
      </c>
    </row>
    <row r="19" spans="1:15" ht="20">
      <c r="A19" s="32" t="s">
        <v>69</v>
      </c>
      <c r="B19" s="33" t="s">
        <v>818</v>
      </c>
      <c r="C19" s="32">
        <v>2019</v>
      </c>
      <c r="D19" s="32" t="s">
        <v>803</v>
      </c>
      <c r="E19" s="32">
        <v>34.541240000000002</v>
      </c>
      <c r="F19" s="31">
        <f t="shared" si="1"/>
        <v>0.4434795693446702</v>
      </c>
      <c r="H19" s="16" t="s">
        <v>800</v>
      </c>
      <c r="I19" s="17">
        <v>111173</v>
      </c>
      <c r="J19" s="80">
        <f t="shared" si="0"/>
        <v>0.33673379756535649</v>
      </c>
      <c r="K19" s="18">
        <v>0.59799999999999998</v>
      </c>
      <c r="L19" s="17">
        <v>71996</v>
      </c>
      <c r="M19" s="80">
        <f>Table41[[#This Row],[TRUMP VOTES]]/C42</f>
        <v>0.21806991346383928</v>
      </c>
      <c r="N19" s="18">
        <v>0.38700000000000001</v>
      </c>
      <c r="O19" s="82">
        <f>1-(Table41[[#This Row],[NdP]]+Table41[[#This Row],[NdP2]])</f>
        <v>0.44519628897080421</v>
      </c>
    </row>
    <row r="20" spans="1:15" ht="20">
      <c r="A20" s="30" t="s">
        <v>69</v>
      </c>
      <c r="B20" s="31" t="s">
        <v>819</v>
      </c>
      <c r="C20" s="30">
        <v>2019</v>
      </c>
      <c r="D20" s="30" t="s">
        <v>803</v>
      </c>
      <c r="E20" s="30">
        <v>61.148829999999997</v>
      </c>
      <c r="F20" s="31">
        <f t="shared" si="1"/>
        <v>0.78509795231237922</v>
      </c>
      <c r="H20" s="16" t="s">
        <v>801</v>
      </c>
      <c r="I20" s="17">
        <v>34481</v>
      </c>
      <c r="J20" s="80">
        <f t="shared" si="0"/>
        <v>0.24455303696558767</v>
      </c>
      <c r="K20" s="18">
        <v>0.39200000000000002</v>
      </c>
      <c r="L20" s="17">
        <v>51698</v>
      </c>
      <c r="M20" s="80">
        <f>Table41[[#This Row],[TRUMP VOTES]]/C43</f>
        <v>0.36666288405344832</v>
      </c>
      <c r="N20" s="18">
        <v>0.58799999999999997</v>
      </c>
      <c r="O20" s="82">
        <f>1-(Table41[[#This Row],[NdP]]+Table41[[#This Row],[NdP2]])</f>
        <v>0.38878407898096401</v>
      </c>
    </row>
    <row r="21" spans="1:15" ht="20">
      <c r="A21" s="32" t="s">
        <v>69</v>
      </c>
      <c r="B21" s="33" t="s">
        <v>157</v>
      </c>
      <c r="C21" s="32">
        <v>2019</v>
      </c>
      <c r="D21" s="32" t="s">
        <v>803</v>
      </c>
      <c r="E21" s="32">
        <v>37.579509999999999</v>
      </c>
      <c r="F21" s="31">
        <f t="shared" si="1"/>
        <v>0.4824883215247549</v>
      </c>
      <c r="H21" s="16" t="s">
        <v>255</v>
      </c>
      <c r="I21" s="17">
        <v>170245</v>
      </c>
      <c r="J21" s="80">
        <f t="shared" si="0"/>
        <v>0.30663282949813403</v>
      </c>
      <c r="K21" s="18">
        <v>0.67300000000000004</v>
      </c>
      <c r="L21" s="17">
        <v>80002</v>
      </c>
      <c r="M21" s="80">
        <f>Table41[[#This Row],[TRUMP VOTES]]/C44</f>
        <v>0.14409374504690134</v>
      </c>
      <c r="N21" s="18">
        <v>0.316</v>
      </c>
      <c r="O21" s="82">
        <f>1-(Table41[[#This Row],[NdP]]+Table41[[#This Row],[NdP2]])</f>
        <v>0.5492734254549646</v>
      </c>
    </row>
    <row r="22" spans="1:15" ht="20">
      <c r="A22" s="38" t="s">
        <v>69</v>
      </c>
      <c r="B22" s="39" t="s">
        <v>159</v>
      </c>
      <c r="C22" s="38">
        <v>2019</v>
      </c>
      <c r="D22" s="38" t="s">
        <v>803</v>
      </c>
      <c r="E22" s="38">
        <v>74.534469999999999</v>
      </c>
      <c r="F22" s="31">
        <f t="shared" si="1"/>
        <v>0.95695796262477084</v>
      </c>
      <c r="H22" s="16" t="s">
        <v>257</v>
      </c>
      <c r="I22" s="17">
        <v>24901</v>
      </c>
      <c r="J22" s="80">
        <f t="shared" si="0"/>
        <v>0.23551499101484916</v>
      </c>
      <c r="K22" s="18">
        <v>0.41</v>
      </c>
      <c r="L22" s="17">
        <v>34769</v>
      </c>
      <c r="M22" s="80">
        <f>Table41[[#This Row],[TRUMP VOTES]]/C45</f>
        <v>0.32884706327437813</v>
      </c>
      <c r="N22" s="18">
        <v>0.57199999999999995</v>
      </c>
      <c r="O22" s="82">
        <f>1-(Table41[[#This Row],[NdP]]+Table41[[#This Row],[NdP2]])</f>
        <v>0.43563794571077274</v>
      </c>
    </row>
    <row r="24" spans="1:15" ht="21">
      <c r="A24" s="77" t="s">
        <v>1670</v>
      </c>
      <c r="B24" s="77" t="s">
        <v>69</v>
      </c>
      <c r="C24" s="77" t="s">
        <v>54</v>
      </c>
    </row>
    <row r="25" spans="1:15" ht="21">
      <c r="A25" s="52">
        <v>15</v>
      </c>
      <c r="B25" s="53" t="s">
        <v>785</v>
      </c>
      <c r="C25" s="54">
        <v>264650</v>
      </c>
    </row>
    <row r="26" spans="1:15" ht="21">
      <c r="A26" s="52">
        <v>1</v>
      </c>
      <c r="B26" s="53" t="s">
        <v>786</v>
      </c>
      <c r="C26" s="54">
        <v>931275</v>
      </c>
    </row>
    <row r="27" spans="1:15" ht="21">
      <c r="A27" s="52">
        <v>11</v>
      </c>
      <c r="B27" s="53" t="s">
        <v>787</v>
      </c>
      <c r="C27" s="54">
        <v>446301</v>
      </c>
    </row>
    <row r="28" spans="1:15" ht="21">
      <c r="A28" s="52">
        <v>8</v>
      </c>
      <c r="B28" s="53" t="s">
        <v>788</v>
      </c>
      <c r="C28" s="54">
        <v>506721</v>
      </c>
    </row>
    <row r="29" spans="1:15" ht="21">
      <c r="A29" s="52">
        <v>20</v>
      </c>
      <c r="B29" s="53" t="s">
        <v>789</v>
      </c>
      <c r="C29" s="54">
        <v>92701</v>
      </c>
    </row>
    <row r="30" spans="1:15" ht="21">
      <c r="A30" s="52">
        <v>16</v>
      </c>
      <c r="B30" s="53" t="s">
        <v>187</v>
      </c>
      <c r="C30" s="54">
        <v>150085</v>
      </c>
    </row>
    <row r="31" spans="1:15" ht="21">
      <c r="A31" s="52">
        <v>3</v>
      </c>
      <c r="B31" s="53" t="s">
        <v>790</v>
      </c>
      <c r="C31" s="54">
        <v>798698</v>
      </c>
    </row>
    <row r="32" spans="1:15" ht="21">
      <c r="A32" s="52">
        <v>14</v>
      </c>
      <c r="B32" s="53" t="s">
        <v>791</v>
      </c>
      <c r="C32" s="54">
        <v>291745</v>
      </c>
    </row>
    <row r="33" spans="1:3" ht="21">
      <c r="A33" s="52">
        <v>4</v>
      </c>
      <c r="B33" s="53" t="s">
        <v>792</v>
      </c>
      <c r="C33" s="54">
        <v>671923</v>
      </c>
    </row>
    <row r="34" spans="1:3" ht="21">
      <c r="A34" s="52">
        <v>18</v>
      </c>
      <c r="B34" s="53" t="s">
        <v>793</v>
      </c>
      <c r="C34" s="54">
        <v>125063</v>
      </c>
    </row>
    <row r="35" spans="1:3" ht="21">
      <c r="A35" s="52">
        <v>12</v>
      </c>
      <c r="B35" s="53" t="s">
        <v>794</v>
      </c>
      <c r="C35" s="54">
        <v>368085</v>
      </c>
    </row>
    <row r="36" spans="1:3" ht="21">
      <c r="A36" s="52">
        <v>2</v>
      </c>
      <c r="B36" s="53" t="s">
        <v>795</v>
      </c>
      <c r="C36" s="54">
        <v>825015</v>
      </c>
    </row>
    <row r="37" spans="1:3" ht="21">
      <c r="A37" s="52">
        <v>5</v>
      </c>
      <c r="B37" s="53" t="s">
        <v>796</v>
      </c>
      <c r="C37" s="54">
        <v>620821</v>
      </c>
    </row>
    <row r="38" spans="1:3" ht="21">
      <c r="A38" s="52">
        <v>10</v>
      </c>
      <c r="B38" s="53" t="s">
        <v>483</v>
      </c>
      <c r="C38" s="54">
        <v>492715</v>
      </c>
    </row>
    <row r="39" spans="1:3" ht="21">
      <c r="A39" s="52">
        <v>6</v>
      </c>
      <c r="B39" s="53" t="s">
        <v>797</v>
      </c>
      <c r="C39" s="54">
        <v>602018</v>
      </c>
    </row>
    <row r="40" spans="1:3" ht="21">
      <c r="A40" s="52">
        <v>9</v>
      </c>
      <c r="B40" s="53" t="s">
        <v>798</v>
      </c>
      <c r="C40" s="54">
        <v>502763</v>
      </c>
    </row>
    <row r="41" spans="1:3" ht="21">
      <c r="A41" s="52">
        <v>21</v>
      </c>
      <c r="B41" s="53" t="s">
        <v>799</v>
      </c>
      <c r="C41" s="54">
        <v>62754</v>
      </c>
    </row>
    <row r="42" spans="1:3" ht="21">
      <c r="A42" s="52">
        <v>13</v>
      </c>
      <c r="B42" s="53" t="s">
        <v>800</v>
      </c>
      <c r="C42" s="54">
        <v>330151</v>
      </c>
    </row>
    <row r="43" spans="1:3" ht="21">
      <c r="A43" s="52">
        <v>17</v>
      </c>
      <c r="B43" s="53" t="s">
        <v>801</v>
      </c>
      <c r="C43" s="54">
        <v>140996</v>
      </c>
    </row>
    <row r="44" spans="1:3" ht="21">
      <c r="A44" s="52">
        <v>7</v>
      </c>
      <c r="B44" s="53" t="s">
        <v>255</v>
      </c>
      <c r="C44" s="54">
        <v>555208</v>
      </c>
    </row>
    <row r="45" spans="1:3" ht="21">
      <c r="A45" s="52">
        <v>19</v>
      </c>
      <c r="B45" s="53" t="s">
        <v>257</v>
      </c>
      <c r="C45" s="54">
        <v>105730</v>
      </c>
    </row>
  </sheetData>
  <hyperlinks>
    <hyperlink ref="B26" r:id="rId1" display="https://www.newjersey-demographics.com/bergen-county-demographics" xr:uid="{1E4B0B0F-0143-9B44-98F1-674FB87DEEC2}"/>
    <hyperlink ref="B36" r:id="rId2" display="https://www.newjersey-demographics.com/middlesex-county-demographics" xr:uid="{2F3F137B-2FC3-924D-BB5C-88E4BDCAC19D}"/>
    <hyperlink ref="B31" r:id="rId3" display="https://www.newjersey-demographics.com/essex-county-demographics" xr:uid="{65CDA017-432D-E042-A669-E76DCF6DC915}"/>
    <hyperlink ref="B33" r:id="rId4" display="https://www.newjersey-demographics.com/hudson-county-demographics" xr:uid="{AEDC01A0-7ECC-C842-9DF0-38565D5A1EF1}"/>
    <hyperlink ref="B37" r:id="rId5" display="https://www.newjersey-demographics.com/monmouth-county-demographics" xr:uid="{B10919A9-CA74-7A41-8E56-5E63A0E453C3}"/>
    <hyperlink ref="B39" r:id="rId6" display="https://www.newjersey-demographics.com/ocean-county-demographics" xr:uid="{A565AB67-7AB3-0A41-BA67-A6B1E28A0320}"/>
    <hyperlink ref="B44" r:id="rId7" display="https://www.newjersey-demographics.com/union-county-demographics" xr:uid="{0768AA16-FBFA-C541-BEF1-3EFBB3FDC4C8}"/>
    <hyperlink ref="B28" r:id="rId8" display="https://www.newjersey-demographics.com/camden-county-demographics" xr:uid="{FF54CFC7-33B8-AD44-AABA-CD36EC3C2213}"/>
    <hyperlink ref="B40" r:id="rId9" display="https://www.newjersey-demographics.com/passaic-county-demographics" xr:uid="{A1B0D6B0-C859-4743-981B-AAB3B5B36A67}"/>
    <hyperlink ref="B38" r:id="rId10" display="https://www.newjersey-demographics.com/morris-county-demographics" xr:uid="{0E611246-CB32-DF45-8974-3315B6201E00}"/>
    <hyperlink ref="B27" r:id="rId11" display="https://www.newjersey-demographics.com/burlington-county-demographics" xr:uid="{E9C3F92A-BE3E-A449-BDFC-740EC6B6B030}"/>
    <hyperlink ref="B35" r:id="rId12" display="https://www.newjersey-demographics.com/mercer-county-demographics" xr:uid="{E226B684-3834-C741-8DED-24DA96F01AC1}"/>
    <hyperlink ref="B42" r:id="rId13" display="https://www.newjersey-demographics.com/somerset-county-demographics" xr:uid="{F32F4E6C-2AD7-634C-98C4-DC3D60C42034}"/>
    <hyperlink ref="B32" r:id="rId14" display="https://www.newjersey-demographics.com/gloucester-county-demographics" xr:uid="{2B23B5DD-BE6F-284B-AB44-65FA20A0EED9}"/>
    <hyperlink ref="B25" r:id="rId15" display="https://www.newjersey-demographics.com/atlantic-county-demographics" xr:uid="{30901ECC-6F52-C249-8A78-DE67D8F8CFA0}"/>
    <hyperlink ref="B30" r:id="rId16" display="https://www.newjersey-demographics.com/cumberland-county-demographics" xr:uid="{C5B0291B-454C-0542-998C-877F87DBAFF9}"/>
    <hyperlink ref="B43" r:id="rId17" display="https://www.newjersey-demographics.com/sussex-county-demographics" xr:uid="{923B2715-A817-1B47-AEFE-FDB52141F464}"/>
    <hyperlink ref="B34" r:id="rId18" display="https://www.newjersey-demographics.com/hunterdon-county-demographics" xr:uid="{26D9CD98-7643-E542-99EB-9B010BE30A1C}"/>
    <hyperlink ref="B45" r:id="rId19" display="https://www.newjersey-demographics.com/warren-county-demographics" xr:uid="{038503D7-637D-9649-B6C4-C7C6BD4B6E79}"/>
    <hyperlink ref="B29" r:id="rId20" display="https://www.newjersey-demographics.com/cape-may-county-demographics" xr:uid="{919C9445-2013-8E46-AA98-E9ED30802845}"/>
    <hyperlink ref="B41" r:id="rId21" display="https://www.newjersey-demographics.com/salem-county-demographics" xr:uid="{A8662E05-8E8B-C044-831A-6C0652CA8CB5}"/>
  </hyperlinks>
  <pageMargins left="0.7" right="0.7" top="0.75" bottom="0.75" header="0.3" footer="0.3"/>
  <tableParts count="2">
    <tablePart r:id="rId22"/>
    <tablePart r:id="rId2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B026-68D0-7D49-A164-32D1B3C26CC0}">
  <dimension ref="A1:T71"/>
  <sheetViews>
    <sheetView topLeftCell="C1" workbookViewId="0">
      <selection activeCell="R2" sqref="R2:R4"/>
    </sheetView>
  </sheetViews>
  <sheetFormatPr baseColWidth="10" defaultRowHeight="13"/>
  <cols>
    <col min="1" max="1" width="13.83203125" customWidth="1"/>
    <col min="2" max="2" width="12.83203125" customWidth="1"/>
    <col min="3" max="3" width="17.33203125" customWidth="1"/>
    <col min="4" max="4" width="12.5" customWidth="1"/>
    <col min="6" max="6" width="10.83203125" style="1"/>
    <col min="8" max="8" width="25.5" bestFit="1" customWidth="1"/>
    <col min="9" max="9" width="17.33203125" customWidth="1"/>
    <col min="10" max="10" width="17.33203125" style="1" customWidth="1"/>
    <col min="11" max="11" width="14.5" customWidth="1"/>
    <col min="12" max="12" width="18.33203125" customWidth="1"/>
    <col min="13" max="13" width="18.33203125" style="1" customWidth="1"/>
    <col min="14" max="14" width="16.5" bestFit="1" customWidth="1"/>
    <col min="16" max="16" width="10.83203125" style="1"/>
    <col min="17" max="17" width="16.5" style="1" customWidth="1"/>
    <col min="18" max="18" width="9.5" bestFit="1" customWidth="1"/>
  </cols>
  <sheetData>
    <row r="1" spans="1:20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s="45" t="s">
        <v>1686</v>
      </c>
      <c r="H1" s="15" t="s">
        <v>165</v>
      </c>
      <c r="I1" s="15" t="s">
        <v>168</v>
      </c>
      <c r="J1" s="15" t="s">
        <v>1677</v>
      </c>
      <c r="K1" s="15" t="s">
        <v>169</v>
      </c>
      <c r="L1" s="15" t="s">
        <v>166</v>
      </c>
      <c r="M1" s="15" t="s">
        <v>1687</v>
      </c>
      <c r="N1" s="15" t="s">
        <v>167</v>
      </c>
      <c r="O1" s="15" t="s">
        <v>62</v>
      </c>
      <c r="R1" t="s">
        <v>267</v>
      </c>
      <c r="S1" t="s">
        <v>330</v>
      </c>
    </row>
    <row r="2" spans="1:20" ht="20">
      <c r="A2" s="30" t="s">
        <v>69</v>
      </c>
      <c r="B2" s="31" t="s">
        <v>323</v>
      </c>
      <c r="C2" s="30">
        <v>2019</v>
      </c>
      <c r="D2" s="30" t="s">
        <v>295</v>
      </c>
      <c r="E2" s="30">
        <v>29.3</v>
      </c>
      <c r="F2" s="31">
        <f t="shared" ref="F2:F35" si="0">E2/(MAX(E:E)-MIN(E:E))</f>
        <v>0.30939809926082368</v>
      </c>
      <c r="H2" s="16" t="s">
        <v>268</v>
      </c>
      <c r="I2" s="17">
        <v>2346</v>
      </c>
      <c r="J2" s="80">
        <f>Table4[[#This Row],[BIDEN VOTES]]/C38</f>
        <v>0.14580484773151026</v>
      </c>
      <c r="K2" s="18">
        <v>0.23699999999999999</v>
      </c>
      <c r="L2" s="17">
        <v>7352</v>
      </c>
      <c r="M2" s="80">
        <f>Table4[[#This Row],[TRUMP VOTES]]/C38</f>
        <v>0.45692977004350527</v>
      </c>
      <c r="N2" s="18">
        <v>0.74299999999999999</v>
      </c>
      <c r="O2" s="82">
        <f>1-(Table4[[#This Row],[NbP]]+Table4[[#This Row],[NbP2]])</f>
        <v>0.39726538222498453</v>
      </c>
      <c r="Q2" s="81" t="s">
        <v>1672</v>
      </c>
      <c r="R2" s="90">
        <f>CORREL(F:F,J:J)</f>
        <v>-0.38369111765150249</v>
      </c>
      <c r="S2" s="81"/>
      <c r="T2" s="81"/>
    </row>
    <row r="3" spans="1:20" ht="20">
      <c r="A3" s="32" t="s">
        <v>69</v>
      </c>
      <c r="B3" s="33" t="s">
        <v>73</v>
      </c>
      <c r="C3" s="32">
        <v>2019</v>
      </c>
      <c r="D3" s="32" t="s">
        <v>295</v>
      </c>
      <c r="E3" s="32">
        <v>10.6</v>
      </c>
      <c r="F3" s="31">
        <f t="shared" si="0"/>
        <v>0.11193241816261879</v>
      </c>
      <c r="H3" s="16" t="s">
        <v>172</v>
      </c>
      <c r="I3" s="17">
        <v>35827</v>
      </c>
      <c r="J3" s="80">
        <f>Table4[[#This Row],[BIDEN VOTES]]/C39</f>
        <v>0.38871408731880913</v>
      </c>
      <c r="K3" s="18">
        <v>0.68500000000000005</v>
      </c>
      <c r="L3" s="17">
        <v>14878</v>
      </c>
      <c r="M3" s="80">
        <f>Table4[[#This Row],[TRUMP VOTES]]/C39</f>
        <v>0.16142261956427392</v>
      </c>
      <c r="N3" s="18">
        <v>0.28399999999999997</v>
      </c>
      <c r="O3" s="82">
        <f>1-(Table4[[#This Row],[NbP]]+Table4[[#This Row],[NbP2]])</f>
        <v>0.44986329311691697</v>
      </c>
      <c r="Q3" s="81" t="s">
        <v>1671</v>
      </c>
      <c r="R3" s="90">
        <f>CORREL(F:F,M:M)</f>
        <v>0.41177688210419788</v>
      </c>
      <c r="S3" s="81"/>
      <c r="T3" s="81"/>
    </row>
    <row r="4" spans="1:20" ht="20">
      <c r="A4" s="30" t="s">
        <v>69</v>
      </c>
      <c r="B4" s="31" t="s">
        <v>322</v>
      </c>
      <c r="C4" s="30">
        <v>2019</v>
      </c>
      <c r="D4" s="30" t="s">
        <v>295</v>
      </c>
      <c r="E4" s="30">
        <v>8.8000000000000007</v>
      </c>
      <c r="F4" s="31">
        <f t="shared" si="0"/>
        <v>9.2925026399155231E-2</v>
      </c>
      <c r="H4" s="16" t="s">
        <v>269</v>
      </c>
      <c r="I4" s="17">
        <v>139043</v>
      </c>
      <c r="J4" s="80">
        <f>Table4[[#This Row],[BIDEN VOTES]]/C40</f>
        <v>0.33497557120968285</v>
      </c>
      <c r="K4" s="18">
        <v>0.54400000000000004</v>
      </c>
      <c r="L4" s="17">
        <v>110509</v>
      </c>
      <c r="M4" s="80">
        <f>Table4[[#This Row],[TRUMP VOTES]]/C40</f>
        <v>0.2662328588912124</v>
      </c>
      <c r="N4" s="18">
        <v>0.432</v>
      </c>
      <c r="O4" s="82">
        <f>1-(Table4[[#This Row],[NbP]]+Table4[[#This Row],[NbP2]])</f>
        <v>0.39879156989910469</v>
      </c>
      <c r="Q4" s="81" t="s">
        <v>1679</v>
      </c>
      <c r="R4" s="81">
        <f>CORREL(F:F,O:O)</f>
        <v>-7.8816576959004653E-2</v>
      </c>
      <c r="S4" s="81"/>
      <c r="T4" s="81"/>
    </row>
    <row r="5" spans="1:20" ht="20">
      <c r="A5" s="32" t="s">
        <v>69</v>
      </c>
      <c r="B5" s="33" t="s">
        <v>321</v>
      </c>
      <c r="C5" s="32">
        <v>2019</v>
      </c>
      <c r="D5" s="32" t="s">
        <v>295</v>
      </c>
      <c r="E5" s="32">
        <v>12.8</v>
      </c>
      <c r="F5" s="31">
        <f t="shared" si="0"/>
        <v>0.13516367476240759</v>
      </c>
      <c r="H5" s="16" t="s">
        <v>270</v>
      </c>
      <c r="I5" s="17">
        <v>12916</v>
      </c>
      <c r="J5" s="80">
        <f>Table4[[#This Row],[BIDEN VOTES]]/C41</f>
        <v>0.3257010288480936</v>
      </c>
      <c r="K5" s="18">
        <v>0.54400000000000004</v>
      </c>
      <c r="L5" s="17">
        <v>10218</v>
      </c>
      <c r="M5" s="80">
        <f>Table4[[#This Row],[TRUMP VOTES]]/C41</f>
        <v>0.25766592697195884</v>
      </c>
      <c r="N5" s="18">
        <v>0.43</v>
      </c>
      <c r="O5" s="82">
        <f>1-(Table4[[#This Row],[NbP]]+Table4[[#This Row],[NbP2]])</f>
        <v>0.41663304417994751</v>
      </c>
      <c r="R5" s="81"/>
      <c r="S5" s="81"/>
      <c r="T5" s="81"/>
    </row>
    <row r="6" spans="1:20" ht="20">
      <c r="A6" s="30" t="s">
        <v>69</v>
      </c>
      <c r="B6" s="31" t="s">
        <v>320</v>
      </c>
      <c r="C6" s="30">
        <v>2019</v>
      </c>
      <c r="D6" s="30" t="s">
        <v>295</v>
      </c>
      <c r="E6" s="30">
        <v>15.3</v>
      </c>
      <c r="F6" s="31">
        <f t="shared" si="0"/>
        <v>0.16156282998944035</v>
      </c>
      <c r="H6" s="16" t="s">
        <v>271</v>
      </c>
      <c r="I6" s="17">
        <v>13835</v>
      </c>
      <c r="J6" s="80">
        <f>Table4[[#This Row],[BIDEN VOTES]]/C42</f>
        <v>0.26546040639330737</v>
      </c>
      <c r="K6" s="18">
        <v>0.432</v>
      </c>
      <c r="L6" s="17">
        <v>17150</v>
      </c>
      <c r="M6" s="80">
        <f>Table4[[#This Row],[TRUMP VOTES]]/C42</f>
        <v>0.32906729090316017</v>
      </c>
      <c r="N6" s="18">
        <v>0.53600000000000003</v>
      </c>
      <c r="O6" s="82">
        <f>1-(Table4[[#This Row],[NbP]]+Table4[[#This Row],[NbP2]])</f>
        <v>0.40547230270353252</v>
      </c>
      <c r="Q6" s="81"/>
      <c r="R6" s="81"/>
      <c r="S6" s="81"/>
      <c r="T6" s="81"/>
    </row>
    <row r="7" spans="1:20" ht="20">
      <c r="A7" s="32" t="s">
        <v>69</v>
      </c>
      <c r="B7" s="33" t="s">
        <v>319</v>
      </c>
      <c r="C7" s="32">
        <v>2019</v>
      </c>
      <c r="D7" s="32" t="s">
        <v>295</v>
      </c>
      <c r="E7" s="32">
        <v>22.4</v>
      </c>
      <c r="F7" s="31">
        <f t="shared" si="0"/>
        <v>0.23653643083421327</v>
      </c>
      <c r="H7" s="16" t="s">
        <v>272</v>
      </c>
      <c r="I7" s="17">
        <v>14243</v>
      </c>
      <c r="J7" s="80">
        <f>Table4[[#This Row],[BIDEN VOTES]]/C43</f>
        <v>0.22194000779119594</v>
      </c>
      <c r="K7" s="18">
        <v>0.38600000000000001</v>
      </c>
      <c r="L7" s="17">
        <v>21829</v>
      </c>
      <c r="M7" s="80">
        <f>Table4[[#This Row],[TRUMP VOTES]]/C43</f>
        <v>0.34014803272302296</v>
      </c>
      <c r="N7" s="18">
        <v>0.59199999999999997</v>
      </c>
      <c r="O7" s="82">
        <f>1-(Table4[[#This Row],[NbP]]+Table4[[#This Row],[NbP2]])</f>
        <v>0.4379119594857811</v>
      </c>
      <c r="Q7" s="81"/>
      <c r="R7" s="81"/>
      <c r="S7" s="81"/>
      <c r="T7" s="81"/>
    </row>
    <row r="8" spans="1:20" ht="20">
      <c r="A8" s="30" t="s">
        <v>69</v>
      </c>
      <c r="B8" s="31" t="s">
        <v>318</v>
      </c>
      <c r="C8" s="30">
        <v>2019</v>
      </c>
      <c r="D8" s="30" t="s">
        <v>295</v>
      </c>
      <c r="E8" s="30">
        <v>21.6</v>
      </c>
      <c r="F8" s="31">
        <f t="shared" si="0"/>
        <v>0.22808870116156285</v>
      </c>
      <c r="H8" s="16" t="s">
        <v>273</v>
      </c>
      <c r="I8" s="17">
        <v>3801</v>
      </c>
      <c r="J8" s="80">
        <f>Table4[[#This Row],[BIDEN VOTES]]/C44</f>
        <v>0.16015674377449121</v>
      </c>
      <c r="K8" s="18">
        <v>0.247</v>
      </c>
      <c r="L8" s="17">
        <v>11287</v>
      </c>
      <c r="M8" s="80">
        <f>Table4[[#This Row],[TRUMP VOTES]]/C44</f>
        <v>0.47558252222643577</v>
      </c>
      <c r="N8" s="18">
        <v>0.73399999999999999</v>
      </c>
      <c r="O8" s="82">
        <f>1-(Table4[[#This Row],[NbP]]+Table4[[#This Row],[NbP2]])</f>
        <v>0.36426073399907299</v>
      </c>
      <c r="Q8" s="81"/>
      <c r="R8" s="81"/>
      <c r="S8" s="81"/>
      <c r="T8" s="81"/>
    </row>
    <row r="9" spans="1:20" ht="20">
      <c r="A9" s="32" t="s">
        <v>69</v>
      </c>
      <c r="B9" s="33" t="s">
        <v>317</v>
      </c>
      <c r="C9" s="32">
        <v>2019</v>
      </c>
      <c r="D9" s="32" t="s">
        <v>295</v>
      </c>
      <c r="E9" s="32">
        <v>21.5</v>
      </c>
      <c r="F9" s="31">
        <f t="shared" si="0"/>
        <v>0.22703273495248152</v>
      </c>
      <c r="H9" s="16" t="s">
        <v>274</v>
      </c>
      <c r="I9" s="17">
        <v>6058</v>
      </c>
      <c r="J9" s="80">
        <f>Table4[[#This Row],[BIDEN VOTES]]/C45</f>
        <v>0.26466861811350428</v>
      </c>
      <c r="K9" s="18">
        <v>0.40799999999999997</v>
      </c>
      <c r="L9" s="17">
        <v>8484</v>
      </c>
      <c r="M9" s="80">
        <f>Table4[[#This Row],[TRUMP VOTES]]/C45</f>
        <v>0.37065839486216084</v>
      </c>
      <c r="N9" s="18">
        <v>0.57099999999999995</v>
      </c>
      <c r="O9" s="82">
        <f>1-(Table4[[#This Row],[NbP]]+Table4[[#This Row],[NbP2]])</f>
        <v>0.36467298702433482</v>
      </c>
      <c r="Q9" s="81"/>
      <c r="R9" s="81"/>
      <c r="S9" s="81"/>
      <c r="T9" s="81"/>
    </row>
    <row r="10" spans="1:20" ht="20">
      <c r="A10" s="30" t="s">
        <v>69</v>
      </c>
      <c r="B10" s="31" t="s">
        <v>316</v>
      </c>
      <c r="C10" s="30">
        <v>2019</v>
      </c>
      <c r="D10" s="30" t="s">
        <v>295</v>
      </c>
      <c r="E10" s="30">
        <v>15.9</v>
      </c>
      <c r="F10" s="31">
        <f t="shared" si="0"/>
        <v>0.16789862724392821</v>
      </c>
      <c r="H10" s="16" t="s">
        <v>275</v>
      </c>
      <c r="I10" s="17">
        <v>65962</v>
      </c>
      <c r="J10" s="80">
        <f>Table4[[#This Row],[BIDEN VOTES]]/C46</f>
        <v>0.34400179401196357</v>
      </c>
      <c r="K10" s="18">
        <v>0.53100000000000003</v>
      </c>
      <c r="L10" s="17">
        <v>55646</v>
      </c>
      <c r="M10" s="80">
        <f>Table4[[#This Row],[TRUMP VOTES]]/C46</f>
        <v>0.29020229570949524</v>
      </c>
      <c r="N10" s="18">
        <v>0.44800000000000001</v>
      </c>
      <c r="O10" s="82">
        <f>1-(Table4[[#This Row],[NbP]]+Table4[[#This Row],[NbP2]])</f>
        <v>0.36579591027854119</v>
      </c>
      <c r="Q10" s="81"/>
      <c r="R10" s="81"/>
      <c r="S10" s="81"/>
      <c r="T10" s="81"/>
    </row>
    <row r="11" spans="1:20" ht="20">
      <c r="A11" s="32" t="s">
        <v>69</v>
      </c>
      <c r="B11" s="33" t="s">
        <v>315</v>
      </c>
      <c r="C11" s="32">
        <v>2019</v>
      </c>
      <c r="D11" s="32" t="s">
        <v>295</v>
      </c>
      <c r="E11" s="32">
        <v>30.1</v>
      </c>
      <c r="F11" s="31">
        <f t="shared" si="0"/>
        <v>0.31784582893347413</v>
      </c>
      <c r="H11" s="16" t="s">
        <v>276</v>
      </c>
      <c r="I11" s="17">
        <v>19160</v>
      </c>
      <c r="J11" s="80">
        <f>Table4[[#This Row],[BIDEN VOTES]]/C47</f>
        <v>0.17415806935417896</v>
      </c>
      <c r="K11" s="18">
        <v>0.29899999999999999</v>
      </c>
      <c r="L11" s="17">
        <v>43298</v>
      </c>
      <c r="M11" s="80">
        <f>Table4[[#This Row],[TRUMP VOTES]]/C47</f>
        <v>0.39356451392991865</v>
      </c>
      <c r="N11" s="18">
        <v>0.67600000000000005</v>
      </c>
      <c r="O11" s="82">
        <f>1-(Table4[[#This Row],[NbP]]+Table4[[#This Row],[NbP2]])</f>
        <v>0.43227741671590236</v>
      </c>
      <c r="Q11" s="81"/>
      <c r="R11" s="81"/>
      <c r="S11" s="81"/>
      <c r="T11" s="81"/>
    </row>
    <row r="12" spans="1:20" ht="20">
      <c r="A12" s="30" t="s">
        <v>69</v>
      </c>
      <c r="B12" s="31" t="s">
        <v>314</v>
      </c>
      <c r="C12" s="30">
        <v>2019</v>
      </c>
      <c r="D12" s="30" t="s">
        <v>295</v>
      </c>
      <c r="E12" s="30">
        <v>103.3</v>
      </c>
      <c r="F12" s="31">
        <f t="shared" si="0"/>
        <v>1.0908130939809926</v>
      </c>
      <c r="H12" s="16" t="s">
        <v>277</v>
      </c>
      <c r="I12" s="19">
        <v>324</v>
      </c>
      <c r="J12" s="80">
        <f>Table4[[#This Row],[BIDEN VOTES]]/C48</f>
        <v>0.17088607594936708</v>
      </c>
      <c r="K12" s="18">
        <v>0.27600000000000002</v>
      </c>
      <c r="L12" s="19">
        <v>834</v>
      </c>
      <c r="M12" s="80">
        <f>Table4[[#This Row],[TRUMP VOTES]]/C48</f>
        <v>0.439873417721519</v>
      </c>
      <c r="N12" s="18">
        <v>0.70899999999999996</v>
      </c>
      <c r="O12" s="82">
        <f>1-(Table4[[#This Row],[NbP]]+Table4[[#This Row],[NbP2]])</f>
        <v>0.38924050632911389</v>
      </c>
      <c r="Q12" s="81"/>
      <c r="R12" s="81"/>
      <c r="S12" s="81"/>
      <c r="T12" s="81"/>
    </row>
    <row r="13" spans="1:20" ht="20">
      <c r="A13" s="32" t="s">
        <v>69</v>
      </c>
      <c r="B13" s="33" t="s">
        <v>313</v>
      </c>
      <c r="C13" s="32">
        <v>2019</v>
      </c>
      <c r="D13" s="32" t="s">
        <v>295</v>
      </c>
      <c r="E13" s="32">
        <v>19.7</v>
      </c>
      <c r="F13" s="31">
        <f t="shared" si="0"/>
        <v>0.20802534318901794</v>
      </c>
      <c r="H13" s="16" t="s">
        <v>278</v>
      </c>
      <c r="I13" s="19">
        <v>929</v>
      </c>
      <c r="J13" s="80">
        <f>Table4[[#This Row],[BIDEN VOTES]]/C49</f>
        <v>0.12949540005575691</v>
      </c>
      <c r="K13" s="18">
        <v>0.20300000000000001</v>
      </c>
      <c r="L13" s="17">
        <v>3545</v>
      </c>
      <c r="M13" s="80">
        <f>Table4[[#This Row],[TRUMP VOTES]]/C49</f>
        <v>0.49414552550878171</v>
      </c>
      <c r="N13" s="18">
        <v>0.77500000000000002</v>
      </c>
      <c r="O13" s="82">
        <f>1-(Table4[[#This Row],[NbP]]+Table4[[#This Row],[NbP2]])</f>
        <v>0.37635907443546135</v>
      </c>
      <c r="Q13" s="81"/>
      <c r="R13" s="81"/>
      <c r="S13" s="81"/>
      <c r="T13" s="81"/>
    </row>
    <row r="14" spans="1:20" ht="20">
      <c r="A14" s="30" t="s">
        <v>69</v>
      </c>
      <c r="B14" s="31" t="s">
        <v>312</v>
      </c>
      <c r="C14" s="30">
        <v>2019</v>
      </c>
      <c r="D14" s="30" t="s">
        <v>295</v>
      </c>
      <c r="E14" s="30">
        <v>35.299999999999997</v>
      </c>
      <c r="F14" s="31">
        <f t="shared" si="0"/>
        <v>0.37275607180570219</v>
      </c>
      <c r="H14" s="16" t="s">
        <v>279</v>
      </c>
      <c r="I14" s="19">
        <v>894</v>
      </c>
      <c r="J14" s="80">
        <f>Table4[[#This Row],[BIDEN VOTES]]/C50</f>
        <v>0.12229822161422708</v>
      </c>
      <c r="K14" s="18">
        <v>0.20100000000000001</v>
      </c>
      <c r="L14" s="17">
        <v>3475</v>
      </c>
      <c r="M14" s="80">
        <f>Table4[[#This Row],[TRUMP VOTES]]/C50</f>
        <v>0.47537619699042405</v>
      </c>
      <c r="N14" s="18">
        <v>0.78100000000000003</v>
      </c>
      <c r="O14" s="82">
        <f>1-(Table4[[#This Row],[NbP]]+Table4[[#This Row],[NbP2]])</f>
        <v>0.40232558139534891</v>
      </c>
    </row>
    <row r="15" spans="1:20" ht="20">
      <c r="A15" s="32" t="s">
        <v>69</v>
      </c>
      <c r="B15" s="33" t="s">
        <v>311</v>
      </c>
      <c r="C15" s="32">
        <v>2019</v>
      </c>
      <c r="D15" s="32" t="s">
        <v>295</v>
      </c>
      <c r="E15" s="32">
        <v>9.8000000000000007</v>
      </c>
      <c r="F15" s="31">
        <f t="shared" si="0"/>
        <v>0.10348468848996832</v>
      </c>
      <c r="H15" s="16" t="s">
        <v>280</v>
      </c>
      <c r="I15" s="17">
        <v>8764</v>
      </c>
      <c r="J15" s="80">
        <f>Table4[[#This Row],[BIDEN VOTES]]/C51</f>
        <v>0.37662226042114311</v>
      </c>
      <c r="K15" s="18">
        <v>0.67400000000000004</v>
      </c>
      <c r="L15" s="17">
        <v>3955</v>
      </c>
      <c r="M15" s="80">
        <f>Table4[[#This Row],[TRUMP VOTES]]/C51</f>
        <v>0.16996132359260852</v>
      </c>
      <c r="N15" s="18">
        <v>0.30399999999999999</v>
      </c>
      <c r="O15" s="82">
        <f>1-(Table4[[#This Row],[NbP]]+Table4[[#This Row],[NbP2]])</f>
        <v>0.45341641598624838</v>
      </c>
    </row>
    <row r="16" spans="1:20" ht="20">
      <c r="A16" s="30" t="s">
        <v>69</v>
      </c>
      <c r="B16" s="31" t="s">
        <v>114</v>
      </c>
      <c r="C16" s="30">
        <v>2019</v>
      </c>
      <c r="D16" s="30" t="s">
        <v>295</v>
      </c>
      <c r="E16" s="30">
        <v>15.9</v>
      </c>
      <c r="F16" s="31">
        <f t="shared" si="0"/>
        <v>0.16789862724392821</v>
      </c>
      <c r="H16" s="16" t="s">
        <v>213</v>
      </c>
      <c r="I16" s="17">
        <v>59478</v>
      </c>
      <c r="J16" s="80">
        <f>Table4[[#This Row],[BIDEN VOTES]]/C52</f>
        <v>0.27186090199788832</v>
      </c>
      <c r="K16" s="18">
        <v>0.47</v>
      </c>
      <c r="L16" s="17">
        <v>63869</v>
      </c>
      <c r="M16" s="80">
        <f>Table4[[#This Row],[TRUMP VOTES]]/C52</f>
        <v>0.29193120060699967</v>
      </c>
      <c r="N16" s="18">
        <v>0.505</v>
      </c>
      <c r="O16" s="82">
        <f>1-(Table4[[#This Row],[NbP]]+Table4[[#This Row],[NbP2]])</f>
        <v>0.43620789739511201</v>
      </c>
    </row>
    <row r="17" spans="1:15" ht="20">
      <c r="A17" s="32" t="s">
        <v>69</v>
      </c>
      <c r="B17" s="33" t="s">
        <v>115</v>
      </c>
      <c r="C17" s="32">
        <v>2019</v>
      </c>
      <c r="D17" s="32" t="s">
        <v>295</v>
      </c>
      <c r="E17" s="32">
        <v>27.6</v>
      </c>
      <c r="F17" s="31">
        <f t="shared" si="0"/>
        <v>0.29144667370644139</v>
      </c>
      <c r="H17" s="16" t="s">
        <v>214</v>
      </c>
      <c r="I17" s="17">
        <v>4393</v>
      </c>
      <c r="J17" s="80">
        <f>Table4[[#This Row],[BIDEN VOTES]]/C53</f>
        <v>0.1826763140385895</v>
      </c>
      <c r="K17" s="18">
        <v>0.37</v>
      </c>
      <c r="L17" s="17">
        <v>7189</v>
      </c>
      <c r="M17" s="80">
        <f>Table4[[#This Row],[TRUMP VOTES]]/C53</f>
        <v>0.29894377910844977</v>
      </c>
      <c r="N17" s="18">
        <v>0.60499999999999998</v>
      </c>
      <c r="O17" s="82">
        <f>1-(Table4[[#This Row],[NbP]]+Table4[[#This Row],[NbP2]])</f>
        <v>0.51837990685296076</v>
      </c>
    </row>
    <row r="18" spans="1:15" ht="20">
      <c r="A18" s="30" t="s">
        <v>69</v>
      </c>
      <c r="B18" s="31" t="s">
        <v>310</v>
      </c>
      <c r="C18" s="30">
        <v>2019</v>
      </c>
      <c r="D18" s="30" t="s">
        <v>295</v>
      </c>
      <c r="E18" s="30">
        <v>18.600000000000001</v>
      </c>
      <c r="F18" s="31">
        <f t="shared" si="0"/>
        <v>0.19640971488912357</v>
      </c>
      <c r="H18" s="16" t="s">
        <v>281</v>
      </c>
      <c r="I18" s="17">
        <v>18451</v>
      </c>
      <c r="J18" s="80">
        <f>Table4[[#This Row],[BIDEN VOTES]]/C54</f>
        <v>0.21184426558894107</v>
      </c>
      <c r="K18" s="18">
        <v>0.35899999999999999</v>
      </c>
      <c r="L18" s="17">
        <v>31751</v>
      </c>
      <c r="M18" s="80">
        <f>Table4[[#This Row],[TRUMP VOTES]]/C54</f>
        <v>0.36454757339518007</v>
      </c>
      <c r="N18" s="18">
        <v>0.61799999999999999</v>
      </c>
      <c r="O18" s="82">
        <f>1-(Table4[[#This Row],[NbP]]+Table4[[#This Row],[NbP2]])</f>
        <v>0.42360816101587884</v>
      </c>
    </row>
    <row r="19" spans="1:15" ht="20">
      <c r="A19" s="32" t="s">
        <v>69</v>
      </c>
      <c r="B19" s="33" t="s">
        <v>309</v>
      </c>
      <c r="C19" s="32">
        <v>2019</v>
      </c>
      <c r="D19" s="32" t="s">
        <v>295</v>
      </c>
      <c r="E19" s="32">
        <v>22.8</v>
      </c>
      <c r="F19" s="31">
        <f t="shared" si="0"/>
        <v>0.24076029567053855</v>
      </c>
      <c r="H19" s="16" t="s">
        <v>282</v>
      </c>
      <c r="I19" s="17">
        <v>10388</v>
      </c>
      <c r="J19" s="80">
        <f>Table4[[#This Row],[BIDEN VOTES]]/C55</f>
        <v>0.15365500103541105</v>
      </c>
      <c r="K19" s="18">
        <v>0.28399999999999997</v>
      </c>
      <c r="L19" s="17">
        <v>25308</v>
      </c>
      <c r="M19" s="80">
        <f>Table4[[#This Row],[TRUMP VOTES]]/C55</f>
        <v>0.37434547229535842</v>
      </c>
      <c r="N19" s="18">
        <v>0.69199999999999995</v>
      </c>
      <c r="O19" s="82">
        <f>1-(Table4[[#This Row],[NbP]]+Table4[[#This Row],[NbP2]])</f>
        <v>0.47199952666923051</v>
      </c>
    </row>
    <row r="20" spans="1:15" ht="20">
      <c r="A20" s="30" t="s">
        <v>69</v>
      </c>
      <c r="B20" s="31" t="s">
        <v>118</v>
      </c>
      <c r="C20" s="30">
        <v>2019</v>
      </c>
      <c r="D20" s="30" t="s">
        <v>295</v>
      </c>
      <c r="E20" s="30">
        <v>15.2</v>
      </c>
      <c r="F20" s="31">
        <f t="shared" si="0"/>
        <v>0.16050686378035903</v>
      </c>
      <c r="H20" s="16" t="s">
        <v>217</v>
      </c>
      <c r="I20" s="19">
        <v>792</v>
      </c>
      <c r="J20" s="80">
        <f>Table4[[#This Row],[BIDEN VOTES]]/C56</f>
        <v>0.10030395136778116</v>
      </c>
      <c r="K20" s="18">
        <v>0.182</v>
      </c>
      <c r="L20" s="17">
        <v>3470</v>
      </c>
      <c r="M20" s="80">
        <f>Table4[[#This Row],[TRUMP VOTES]]/C56</f>
        <v>0.43946301925025327</v>
      </c>
      <c r="N20" s="18">
        <v>0.79900000000000004</v>
      </c>
      <c r="O20" s="82">
        <f>1-(Table4[[#This Row],[NbP]]+Table4[[#This Row],[NbP2]])</f>
        <v>0.46023302938196553</v>
      </c>
    </row>
    <row r="21" spans="1:15" ht="20">
      <c r="A21" s="32" t="s">
        <v>69</v>
      </c>
      <c r="B21" s="33" t="s">
        <v>308</v>
      </c>
      <c r="C21" s="32">
        <v>2019</v>
      </c>
      <c r="D21" s="32" t="s">
        <v>295</v>
      </c>
      <c r="E21" s="32">
        <v>17.5</v>
      </c>
      <c r="F21" s="31">
        <f t="shared" si="0"/>
        <v>0.18479408658922913</v>
      </c>
      <c r="H21" s="16" t="s">
        <v>283</v>
      </c>
      <c r="I21" s="17">
        <v>134366</v>
      </c>
      <c r="J21" s="80">
        <f>Table4[[#This Row],[BIDEN VOTES]]/C57</f>
        <v>0.35570180199021045</v>
      </c>
      <c r="K21" s="18">
        <v>0.60899999999999999</v>
      </c>
      <c r="L21" s="17">
        <v>80336</v>
      </c>
      <c r="M21" s="80">
        <f>Table4[[#This Row],[TRUMP VOTES]]/C57</f>
        <v>0.21267031812129217</v>
      </c>
      <c r="N21" s="18">
        <v>0.36399999999999999</v>
      </c>
      <c r="O21" s="82">
        <f>1-(Table4[[#This Row],[NbP]]+Table4[[#This Row],[NbP2]])</f>
        <v>0.43162787988849738</v>
      </c>
    </row>
    <row r="22" spans="1:15" ht="20">
      <c r="A22" s="30" t="s">
        <v>69</v>
      </c>
      <c r="B22" s="31" t="s">
        <v>122</v>
      </c>
      <c r="C22" s="30">
        <v>2019</v>
      </c>
      <c r="D22" s="30" t="s">
        <v>295</v>
      </c>
      <c r="E22" s="30">
        <v>20.2</v>
      </c>
      <c r="F22" s="31">
        <f t="shared" si="0"/>
        <v>0.21330517423442449</v>
      </c>
      <c r="H22" s="16" t="s">
        <v>221</v>
      </c>
      <c r="I22" s="17">
        <v>17385</v>
      </c>
      <c r="J22" s="80">
        <f>Table4[[#This Row],[BIDEN VOTES]]/C58</f>
        <v>0.3523796011026431</v>
      </c>
      <c r="K22" s="18">
        <v>0.56799999999999995</v>
      </c>
      <c r="L22" s="17">
        <v>12460</v>
      </c>
      <c r="M22" s="80">
        <f>Table4[[#This Row],[TRUMP VOTES]]/C58</f>
        <v>0.2525539160045403</v>
      </c>
      <c r="N22" s="18">
        <v>0.40699999999999997</v>
      </c>
      <c r="O22" s="82">
        <f>1-(Table4[[#This Row],[NbP]]+Table4[[#This Row],[NbP2]])</f>
        <v>0.39506648289281654</v>
      </c>
    </row>
    <row r="23" spans="1:15" ht="20">
      <c r="A23" s="32" t="s">
        <v>69</v>
      </c>
      <c r="B23" s="33" t="s">
        <v>307</v>
      </c>
      <c r="C23" s="32">
        <v>2019</v>
      </c>
      <c r="D23" s="32" t="s">
        <v>295</v>
      </c>
      <c r="E23" s="32">
        <v>18.600000000000001</v>
      </c>
      <c r="F23" s="31">
        <f t="shared" si="0"/>
        <v>0.19640971488912357</v>
      </c>
      <c r="H23" s="16" t="s">
        <v>284</v>
      </c>
      <c r="I23" s="17">
        <v>26512</v>
      </c>
      <c r="J23" s="80">
        <f>Table4[[#This Row],[BIDEN VOTES]]/C59</f>
        <v>0.20840145893598289</v>
      </c>
      <c r="K23" s="18">
        <v>0.36699999999999999</v>
      </c>
      <c r="L23" s="17">
        <v>43486</v>
      </c>
      <c r="M23" s="80">
        <f>Table4[[#This Row],[TRUMP VOTES]]/C59</f>
        <v>0.34182807194063641</v>
      </c>
      <c r="N23" s="18">
        <v>0.60299999999999998</v>
      </c>
      <c r="O23" s="82">
        <f>1-(Table4[[#This Row],[NbP]]+Table4[[#This Row],[NbP2]])</f>
        <v>0.4497704691233807</v>
      </c>
    </row>
    <row r="24" spans="1:15" ht="20">
      <c r="A24" s="30" t="s">
        <v>69</v>
      </c>
      <c r="B24" s="31" t="s">
        <v>306</v>
      </c>
      <c r="C24" s="30">
        <v>2019</v>
      </c>
      <c r="D24" s="30" t="s">
        <v>295</v>
      </c>
      <c r="E24" s="30">
        <v>41</v>
      </c>
      <c r="F24" s="31">
        <f t="shared" si="0"/>
        <v>0.43294614572333684</v>
      </c>
      <c r="H24" s="16" t="s">
        <v>285</v>
      </c>
      <c r="I24" s="17">
        <v>3260</v>
      </c>
      <c r="J24" s="80">
        <f>Table4[[#This Row],[BIDEN VOTES]]/C60</f>
        <v>0.10642465395664664</v>
      </c>
      <c r="K24" s="18">
        <v>0.27700000000000002</v>
      </c>
      <c r="L24" s="17">
        <v>8187</v>
      </c>
      <c r="M24" s="80">
        <f>Table4[[#This Row],[TRUMP VOTES]]/C60</f>
        <v>0.26726952206842519</v>
      </c>
      <c r="N24" s="18">
        <v>0.69699999999999995</v>
      </c>
      <c r="O24" s="82">
        <f>1-(Table4[[#This Row],[NbP]]+Table4[[#This Row],[NbP2]])</f>
        <v>0.62630582397492818</v>
      </c>
    </row>
    <row r="25" spans="1:15" ht="20">
      <c r="A25" s="32" t="s">
        <v>69</v>
      </c>
      <c r="B25" s="33" t="s">
        <v>126</v>
      </c>
      <c r="C25" s="32">
        <v>2019</v>
      </c>
      <c r="D25" s="32" t="s">
        <v>295</v>
      </c>
      <c r="E25" s="32">
        <v>14.5</v>
      </c>
      <c r="F25" s="31">
        <f t="shared" si="0"/>
        <v>0.15311510031678985</v>
      </c>
      <c r="H25" s="16" t="s">
        <v>227</v>
      </c>
      <c r="I25" s="17">
        <v>80872</v>
      </c>
      <c r="J25" s="80">
        <f>Table4[[#This Row],[BIDEN VOTES]]/C61</f>
        <v>0.23526947536233569</v>
      </c>
      <c r="K25" s="18">
        <v>0.49199999999999999</v>
      </c>
      <c r="L25" s="17">
        <v>79002</v>
      </c>
      <c r="M25" s="80">
        <f>Table4[[#This Row],[TRUMP VOTES]]/C61</f>
        <v>0.22982934875575287</v>
      </c>
      <c r="N25" s="18">
        <v>0.48099999999999998</v>
      </c>
      <c r="O25" s="82">
        <f>1-(Table4[[#This Row],[NbP]]+Table4[[#This Row],[NbP2]])</f>
        <v>0.53490117588191144</v>
      </c>
    </row>
    <row r="26" spans="1:15" ht="20">
      <c r="A26" s="30" t="s">
        <v>69</v>
      </c>
      <c r="B26" s="31" t="s">
        <v>305</v>
      </c>
      <c r="C26" s="30">
        <v>2019</v>
      </c>
      <c r="D26" s="30" t="s">
        <v>295</v>
      </c>
      <c r="E26" s="30">
        <v>14</v>
      </c>
      <c r="F26" s="31">
        <f t="shared" si="0"/>
        <v>0.14783526927138332</v>
      </c>
      <c r="H26" s="16" t="s">
        <v>286</v>
      </c>
      <c r="I26" s="17">
        <v>1371</v>
      </c>
      <c r="J26" s="80">
        <f>Table4[[#This Row],[BIDEN VOTES]]/C62</f>
        <v>0.12</v>
      </c>
      <c r="K26" s="18">
        <v>0.26900000000000002</v>
      </c>
      <c r="L26" s="17">
        <v>3586</v>
      </c>
      <c r="M26" s="80">
        <f>Table4[[#This Row],[TRUMP VOTES]]/C62</f>
        <v>0.31387308533916847</v>
      </c>
      <c r="N26" s="18">
        <v>0.70299999999999996</v>
      </c>
      <c r="O26" s="82">
        <f>1-(Table4[[#This Row],[NbP]]+Table4[[#This Row],[NbP2]])</f>
        <v>0.56612691466083154</v>
      </c>
    </row>
    <row r="27" spans="1:15" ht="20">
      <c r="A27" s="32" t="s">
        <v>69</v>
      </c>
      <c r="B27" s="33" t="s">
        <v>304</v>
      </c>
      <c r="C27" s="32">
        <v>2019</v>
      </c>
      <c r="D27" s="32" t="s">
        <v>295</v>
      </c>
      <c r="E27" s="32">
        <v>11.7</v>
      </c>
      <c r="F27" s="31">
        <f t="shared" si="0"/>
        <v>0.12354804646251319</v>
      </c>
      <c r="H27" s="16" t="s">
        <v>287</v>
      </c>
      <c r="I27" s="17">
        <v>367249</v>
      </c>
      <c r="J27" s="80">
        <f>Table4[[#This Row],[BIDEN VOTES]]/C63</f>
        <v>0.45346716567741202</v>
      </c>
      <c r="K27" s="18">
        <v>0.79800000000000004</v>
      </c>
      <c r="L27" s="17">
        <v>82995</v>
      </c>
      <c r="M27" s="80">
        <f>Table4[[#This Row],[TRUMP VOTES]]/C63</f>
        <v>0.10247953681397856</v>
      </c>
      <c r="N27" s="18">
        <v>0.18</v>
      </c>
      <c r="O27" s="82">
        <f>1-(Table4[[#This Row],[NbP]]+Table4[[#This Row],[NbP2]])</f>
        <v>0.44405329750860945</v>
      </c>
    </row>
    <row r="28" spans="1:15" ht="20">
      <c r="A28" s="30" t="s">
        <v>69</v>
      </c>
      <c r="B28" s="31" t="s">
        <v>140</v>
      </c>
      <c r="C28" s="30">
        <v>2019</v>
      </c>
      <c r="D28" s="30" t="s">
        <v>295</v>
      </c>
      <c r="E28" s="30">
        <v>10.3</v>
      </c>
      <c r="F28" s="31">
        <f t="shared" si="0"/>
        <v>0.10876451953537487</v>
      </c>
      <c r="H28" s="16" t="s">
        <v>239</v>
      </c>
      <c r="I28" s="17">
        <v>22917</v>
      </c>
      <c r="J28" s="80">
        <f>Table4[[#This Row],[BIDEN VOTES]]/C64</f>
        <v>0.27047090758881154</v>
      </c>
      <c r="K28" s="18">
        <v>0.47799999999999998</v>
      </c>
      <c r="L28" s="17">
        <v>23732</v>
      </c>
      <c r="M28" s="80">
        <f>Table4[[#This Row],[TRUMP VOTES]]/C64</f>
        <v>0.28008969668358313</v>
      </c>
      <c r="N28" s="18">
        <v>0.495</v>
      </c>
      <c r="O28" s="82">
        <f>1-(Table4[[#This Row],[NbP]]+Table4[[#This Row],[NbP2]])</f>
        <v>0.44943939572760527</v>
      </c>
    </row>
    <row r="29" spans="1:15" ht="20">
      <c r="A29" s="30" t="s">
        <v>69</v>
      </c>
      <c r="B29" s="31" t="s">
        <v>302</v>
      </c>
      <c r="C29" s="30">
        <v>2019</v>
      </c>
      <c r="D29" s="30" t="s">
        <v>295</v>
      </c>
      <c r="E29" s="30">
        <v>19.399999999999999</v>
      </c>
      <c r="F29" s="31">
        <f t="shared" si="0"/>
        <v>0.20485744456177402</v>
      </c>
      <c r="H29" s="16" t="s">
        <v>289</v>
      </c>
      <c r="I29" s="17">
        <v>8066</v>
      </c>
      <c r="J29" s="80">
        <f>Table4[[#This Row],[BIDEN VOTES]]/C65</f>
        <v>0.30117242924352178</v>
      </c>
      <c r="K29" s="18">
        <v>0.48</v>
      </c>
      <c r="L29" s="17">
        <v>8354</v>
      </c>
      <c r="M29" s="80">
        <f>Table4[[#This Row],[TRUMP VOTES]]/C65</f>
        <v>0.31192592039429468</v>
      </c>
      <c r="N29" s="18">
        <v>0.497</v>
      </c>
      <c r="O29" s="82">
        <f>1-(Table4[[#This Row],[NbP]]+Table4[[#This Row],[NbP2]])</f>
        <v>0.3869016503621836</v>
      </c>
    </row>
    <row r="30" spans="1:15" ht="20">
      <c r="A30" s="32" t="s">
        <v>69</v>
      </c>
      <c r="B30" s="33" t="s">
        <v>301</v>
      </c>
      <c r="C30" s="32">
        <v>2019</v>
      </c>
      <c r="D30" s="32" t="s">
        <v>295</v>
      </c>
      <c r="E30" s="32">
        <v>17.2</v>
      </c>
      <c r="F30" s="31">
        <f t="shared" si="0"/>
        <v>0.18162618796198521</v>
      </c>
      <c r="H30" s="16" t="s">
        <v>290</v>
      </c>
      <c r="I30" s="17">
        <v>10707</v>
      </c>
      <c r="J30" s="80">
        <f>Table4[[#This Row],[BIDEN VOTES]]/C66</f>
        <v>0.13847825243471851</v>
      </c>
      <c r="K30" s="18">
        <v>0.32600000000000001</v>
      </c>
      <c r="L30" s="17">
        <v>21270</v>
      </c>
      <c r="M30" s="80">
        <f>Table4[[#This Row],[TRUMP VOTES]]/C66</f>
        <v>0.27509409071508945</v>
      </c>
      <c r="N30" s="18">
        <v>0.64700000000000002</v>
      </c>
      <c r="O30" s="82">
        <f>1-(Table4[[#This Row],[NbP]]+Table4[[#This Row],[NbP2]])</f>
        <v>0.58642765685019205</v>
      </c>
    </row>
    <row r="31" spans="1:15" ht="20">
      <c r="A31" s="30" t="s">
        <v>69</v>
      </c>
      <c r="B31" s="31" t="s">
        <v>157</v>
      </c>
      <c r="C31" s="30">
        <v>2019</v>
      </c>
      <c r="D31" s="30" t="s">
        <v>295</v>
      </c>
      <c r="E31" s="30">
        <v>14.8</v>
      </c>
      <c r="F31" s="31">
        <f t="shared" si="0"/>
        <v>0.1562829989440338</v>
      </c>
      <c r="H31" s="16" t="s">
        <v>255</v>
      </c>
      <c r="I31" s="17">
        <v>4254</v>
      </c>
      <c r="J31" s="80">
        <f>Table4[[#This Row],[BIDEN VOTES]]/C67</f>
        <v>0.16051618745755036</v>
      </c>
      <c r="K31" s="18">
        <v>0.28599999999999998</v>
      </c>
      <c r="L31" s="17">
        <v>10298</v>
      </c>
      <c r="M31" s="80">
        <f>Table4[[#This Row],[TRUMP VOTES]]/C67</f>
        <v>0.38857444721153123</v>
      </c>
      <c r="N31" s="18">
        <v>0.69299999999999995</v>
      </c>
      <c r="O31" s="82">
        <f>1-(Table4[[#This Row],[NbP]]+Table4[[#This Row],[NbP2]])</f>
        <v>0.45090936533091841</v>
      </c>
    </row>
    <row r="32" spans="1:15" ht="20">
      <c r="A32" s="32" t="s">
        <v>69</v>
      </c>
      <c r="B32" s="33" t="s">
        <v>300</v>
      </c>
      <c r="C32" s="32">
        <v>2019</v>
      </c>
      <c r="D32" s="32" t="s">
        <v>295</v>
      </c>
      <c r="E32" s="32">
        <v>21.2</v>
      </c>
      <c r="F32" s="31">
        <f t="shared" si="0"/>
        <v>0.22386483632523757</v>
      </c>
      <c r="H32" s="16" t="s">
        <v>291</v>
      </c>
      <c r="I32" s="17">
        <v>1625</v>
      </c>
      <c r="J32" s="80">
        <f>Table4[[#This Row],[BIDEN VOTES]]/C68</f>
        <v>0.2300070771408351</v>
      </c>
      <c r="K32" s="18">
        <v>0.317</v>
      </c>
      <c r="L32" s="17">
        <v>3404</v>
      </c>
      <c r="M32" s="80">
        <f>Table4[[#This Row],[TRUMP VOTES]]/C68</f>
        <v>0.48181174805378629</v>
      </c>
      <c r="N32" s="18">
        <v>0.66300000000000003</v>
      </c>
      <c r="O32" s="82">
        <f>1-(Table4[[#This Row],[NbP]]+Table4[[#This Row],[NbP2]])</f>
        <v>0.28818117480537864</v>
      </c>
    </row>
    <row r="33" spans="1:15" ht="20">
      <c r="A33" s="30" t="s">
        <v>69</v>
      </c>
      <c r="B33" s="31" t="s">
        <v>299</v>
      </c>
      <c r="C33" s="30">
        <v>2019</v>
      </c>
      <c r="D33" s="30" t="s">
        <v>295</v>
      </c>
      <c r="E33" s="30">
        <v>20.6</v>
      </c>
      <c r="F33" s="31">
        <f t="shared" si="0"/>
        <v>0.21752903907074975</v>
      </c>
      <c r="H33" s="16" t="s">
        <v>292</v>
      </c>
      <c r="I33" s="17">
        <v>6604</v>
      </c>
      <c r="J33" s="80">
        <f>Table4[[#This Row],[BIDEN VOTES]]/C69</f>
        <v>0.25135114561924338</v>
      </c>
      <c r="K33" s="18">
        <v>0.47</v>
      </c>
      <c r="L33" s="17">
        <v>7035</v>
      </c>
      <c r="M33" s="80">
        <f>Table4[[#This Row],[TRUMP VOTES]]/C69</f>
        <v>0.26775519525005709</v>
      </c>
      <c r="N33" s="18">
        <v>0.501</v>
      </c>
      <c r="O33" s="82">
        <f>1-(Table4[[#This Row],[NbP]]+Table4[[#This Row],[NbP2]])</f>
        <v>0.48089365913069959</v>
      </c>
    </row>
    <row r="34" spans="1:15" ht="20">
      <c r="A34" s="32" t="s">
        <v>69</v>
      </c>
      <c r="B34" s="33" t="s">
        <v>38</v>
      </c>
      <c r="C34" s="32">
        <v>2019</v>
      </c>
      <c r="D34" s="32" t="s">
        <v>295</v>
      </c>
      <c r="E34" s="32">
        <v>8.6</v>
      </c>
      <c r="F34" s="31">
        <f t="shared" si="0"/>
        <v>9.0813093980992604E-2</v>
      </c>
      <c r="H34" s="16" t="s">
        <v>258</v>
      </c>
      <c r="I34" s="17">
        <v>209940</v>
      </c>
      <c r="J34" s="80">
        <f>Table4[[#This Row],[BIDEN VOTES]]/C70</f>
        <v>0.35238963275541701</v>
      </c>
      <c r="K34" s="18">
        <v>0.66100000000000003</v>
      </c>
      <c r="L34" s="17">
        <v>99073</v>
      </c>
      <c r="M34" s="80">
        <f>Table4[[#This Row],[TRUMP VOTES]]/C70</f>
        <v>0.1662965518051702</v>
      </c>
      <c r="N34" s="18">
        <v>0.312</v>
      </c>
      <c r="O34" s="82">
        <f>1-(Table4[[#This Row],[NbP]]+Table4[[#This Row],[NbP2]])</f>
        <v>0.48131381543941276</v>
      </c>
    </row>
    <row r="35" spans="1:15" ht="20">
      <c r="A35" s="34" t="s">
        <v>69</v>
      </c>
      <c r="B35" s="35" t="s">
        <v>296</v>
      </c>
      <c r="C35" s="34">
        <v>2019</v>
      </c>
      <c r="D35" s="34" t="s">
        <v>295</v>
      </c>
      <c r="E35" s="34">
        <v>9.1</v>
      </c>
      <c r="F35" s="31">
        <f t="shared" si="0"/>
        <v>9.6092925026399142E-2</v>
      </c>
      <c r="H35" s="16" t="s">
        <v>294</v>
      </c>
      <c r="I35" s="17">
        <v>27174</v>
      </c>
      <c r="J35" s="80">
        <f>Table4[[#This Row],[BIDEN VOTES]]/C71</f>
        <v>0.25614825567694438</v>
      </c>
      <c r="K35" s="18">
        <v>0.46400000000000002</v>
      </c>
      <c r="L35" s="17">
        <v>29551</v>
      </c>
      <c r="M35" s="80">
        <f>Table4[[#This Row],[TRUMP VOTES]]/C71</f>
        <v>0.27855439403508442</v>
      </c>
      <c r="N35" s="18">
        <v>0.505</v>
      </c>
      <c r="O35" s="82">
        <f>1-(Table4[[#This Row],[NbP]]+Table4[[#This Row],[NbP2]])</f>
        <v>0.46529735028797115</v>
      </c>
    </row>
    <row r="37" spans="1:15" ht="21">
      <c r="A37" s="77" t="s">
        <v>1670</v>
      </c>
      <c r="B37" s="77" t="s">
        <v>69</v>
      </c>
      <c r="C37" s="77" t="s">
        <v>54</v>
      </c>
    </row>
    <row r="38" spans="1:15" ht="21">
      <c r="A38" s="52">
        <v>28</v>
      </c>
      <c r="B38" s="53" t="s">
        <v>268</v>
      </c>
      <c r="C38" s="54">
        <v>16090</v>
      </c>
    </row>
    <row r="39" spans="1:15" ht="21">
      <c r="A39" s="52">
        <v>11</v>
      </c>
      <c r="B39" s="53" t="s">
        <v>172</v>
      </c>
      <c r="C39" s="54">
        <v>92168</v>
      </c>
    </row>
    <row r="40" spans="1:15" ht="21">
      <c r="A40" s="52">
        <v>3</v>
      </c>
      <c r="B40" s="53" t="s">
        <v>269</v>
      </c>
      <c r="C40" s="54">
        <v>415084</v>
      </c>
    </row>
    <row r="41" spans="1:15" ht="21">
      <c r="A41" s="52">
        <v>19</v>
      </c>
      <c r="B41" s="53" t="s">
        <v>270</v>
      </c>
      <c r="C41" s="54">
        <v>39656</v>
      </c>
    </row>
    <row r="42" spans="1:15" ht="21">
      <c r="A42" s="52">
        <v>17</v>
      </c>
      <c r="B42" s="53" t="s">
        <v>271</v>
      </c>
      <c r="C42" s="54">
        <v>52117</v>
      </c>
    </row>
    <row r="43" spans="1:15" ht="21">
      <c r="A43" s="52">
        <v>16</v>
      </c>
      <c r="B43" s="53" t="s">
        <v>272</v>
      </c>
      <c r="C43" s="54">
        <v>64175</v>
      </c>
    </row>
    <row r="44" spans="1:15" ht="21">
      <c r="A44" s="52">
        <v>25</v>
      </c>
      <c r="B44" s="53" t="s">
        <v>273</v>
      </c>
      <c r="C44" s="54">
        <v>23733</v>
      </c>
    </row>
    <row r="45" spans="1:15" ht="21">
      <c r="A45" s="52">
        <v>27</v>
      </c>
      <c r="B45" s="53" t="s">
        <v>274</v>
      </c>
      <c r="C45" s="54">
        <v>22889</v>
      </c>
    </row>
    <row r="46" spans="1:15" ht="21">
      <c r="A46" s="52">
        <v>7</v>
      </c>
      <c r="B46" s="53" t="s">
        <v>275</v>
      </c>
      <c r="C46" s="54">
        <v>191749</v>
      </c>
    </row>
    <row r="47" spans="1:15" ht="21">
      <c r="A47" s="52">
        <v>9</v>
      </c>
      <c r="B47" s="53" t="s">
        <v>276</v>
      </c>
      <c r="C47" s="54">
        <v>110015</v>
      </c>
    </row>
    <row r="48" spans="1:15" ht="21">
      <c r="A48" s="52">
        <v>34</v>
      </c>
      <c r="B48" s="53" t="s">
        <v>277</v>
      </c>
      <c r="C48" s="54">
        <v>1896</v>
      </c>
    </row>
    <row r="49" spans="1:3" ht="21">
      <c r="A49" s="52">
        <v>32</v>
      </c>
      <c r="B49" s="53" t="s">
        <v>278</v>
      </c>
      <c r="C49" s="54">
        <v>7174</v>
      </c>
    </row>
    <row r="50" spans="1:3" ht="21">
      <c r="A50" s="52">
        <v>31</v>
      </c>
      <c r="B50" s="53" t="s">
        <v>279</v>
      </c>
      <c r="C50" s="54">
        <v>7310</v>
      </c>
    </row>
    <row r="51" spans="1:3" ht="21">
      <c r="A51" s="52">
        <v>26</v>
      </c>
      <c r="B51" s="53" t="s">
        <v>280</v>
      </c>
      <c r="C51" s="54">
        <v>23270</v>
      </c>
    </row>
    <row r="52" spans="1:3" ht="21">
      <c r="A52" s="52">
        <v>6</v>
      </c>
      <c r="B52" s="53" t="s">
        <v>213</v>
      </c>
      <c r="C52" s="54">
        <v>218781</v>
      </c>
    </row>
    <row r="53" spans="1:3" ht="21">
      <c r="A53" s="52">
        <v>24</v>
      </c>
      <c r="B53" s="53" t="s">
        <v>214</v>
      </c>
      <c r="C53" s="54">
        <v>24048</v>
      </c>
    </row>
    <row r="54" spans="1:3" ht="21">
      <c r="A54" s="52">
        <v>12</v>
      </c>
      <c r="B54" s="53" t="s">
        <v>281</v>
      </c>
      <c r="C54" s="54">
        <v>87097</v>
      </c>
    </row>
    <row r="55" spans="1:3" ht="21">
      <c r="A55" s="52">
        <v>15</v>
      </c>
      <c r="B55" s="53" t="s">
        <v>282</v>
      </c>
      <c r="C55" s="54">
        <v>67606</v>
      </c>
    </row>
    <row r="56" spans="1:3" ht="21">
      <c r="A56" s="52">
        <v>30</v>
      </c>
      <c r="B56" s="53" t="s">
        <v>217</v>
      </c>
      <c r="C56" s="54">
        <v>7896</v>
      </c>
    </row>
    <row r="57" spans="1:3" ht="21">
      <c r="A57" s="52">
        <v>4</v>
      </c>
      <c r="B57" s="53" t="s">
        <v>283</v>
      </c>
      <c r="C57" s="54">
        <v>377749</v>
      </c>
    </row>
    <row r="58" spans="1:3" ht="21">
      <c r="A58" s="52">
        <v>18</v>
      </c>
      <c r="B58" s="53" t="s">
        <v>221</v>
      </c>
      <c r="C58" s="54">
        <v>49336</v>
      </c>
    </row>
    <row r="59" spans="1:3" ht="21">
      <c r="A59" s="52">
        <v>8</v>
      </c>
      <c r="B59" s="53" t="s">
        <v>284</v>
      </c>
      <c r="C59" s="54">
        <v>127216</v>
      </c>
    </row>
    <row r="60" spans="1:3" ht="21">
      <c r="A60" s="52">
        <v>20</v>
      </c>
      <c r="B60" s="53" t="s">
        <v>285</v>
      </c>
      <c r="C60" s="54">
        <v>30632</v>
      </c>
    </row>
    <row r="61" spans="1:3" ht="21">
      <c r="A61" s="52">
        <v>5</v>
      </c>
      <c r="B61" s="53" t="s">
        <v>227</v>
      </c>
      <c r="C61" s="54">
        <v>343742</v>
      </c>
    </row>
    <row r="62" spans="1:3" ht="21">
      <c r="A62" s="52">
        <v>29</v>
      </c>
      <c r="B62" s="53" t="s">
        <v>286</v>
      </c>
      <c r="C62" s="54">
        <v>11425</v>
      </c>
    </row>
    <row r="63" spans="1:3" ht="21">
      <c r="A63" s="52">
        <v>1</v>
      </c>
      <c r="B63" s="53" t="s">
        <v>287</v>
      </c>
      <c r="C63" s="54">
        <v>809869</v>
      </c>
    </row>
    <row r="64" spans="1:3" ht="21">
      <c r="A64" s="52">
        <v>13</v>
      </c>
      <c r="B64" s="53" t="s">
        <v>239</v>
      </c>
      <c r="C64" s="54">
        <v>84730</v>
      </c>
    </row>
    <row r="65" spans="1:3" ht="21">
      <c r="A65" s="52">
        <v>21</v>
      </c>
      <c r="B65" s="53" t="s">
        <v>289</v>
      </c>
      <c r="C65" s="54">
        <v>26782</v>
      </c>
    </row>
    <row r="66" spans="1:3" ht="21">
      <c r="A66" s="52">
        <v>14</v>
      </c>
      <c r="B66" s="53" t="s">
        <v>290</v>
      </c>
      <c r="C66" s="54">
        <v>77319</v>
      </c>
    </row>
    <row r="67" spans="1:3" ht="21">
      <c r="A67" s="52">
        <v>22</v>
      </c>
      <c r="B67" s="53" t="s">
        <v>255</v>
      </c>
      <c r="C67" s="54">
        <v>26502</v>
      </c>
    </row>
    <row r="68" spans="1:3" ht="21">
      <c r="A68" s="52">
        <v>33</v>
      </c>
      <c r="B68" s="53" t="s">
        <v>291</v>
      </c>
      <c r="C68" s="54">
        <v>7065</v>
      </c>
    </row>
    <row r="69" spans="1:3" ht="21">
      <c r="A69" s="52">
        <v>23</v>
      </c>
      <c r="B69" s="53" t="s">
        <v>292</v>
      </c>
      <c r="C69" s="54">
        <v>26274</v>
      </c>
    </row>
    <row r="70" spans="1:3" ht="21">
      <c r="A70" s="52">
        <v>2</v>
      </c>
      <c r="B70" s="53" t="s">
        <v>258</v>
      </c>
      <c r="C70" s="54">
        <v>595761</v>
      </c>
    </row>
    <row r="71" spans="1:3" ht="21">
      <c r="A71" s="52">
        <v>10</v>
      </c>
      <c r="B71" s="53" t="s">
        <v>294</v>
      </c>
      <c r="C71" s="54">
        <v>106087</v>
      </c>
    </row>
  </sheetData>
  <hyperlinks>
    <hyperlink ref="B63" r:id="rId1" display="https://www.oregon-demographics.com/multnomah-county-demographics" xr:uid="{F0303878-5298-8D40-9A1A-7F6FEE8E6EAF}"/>
    <hyperlink ref="B70" r:id="rId2" display="https://www.oregon-demographics.com/washington-county-demographics" xr:uid="{9856BD9F-D57A-7940-861E-1A87C433A9A0}"/>
    <hyperlink ref="B40" r:id="rId3" display="https://www.oregon-demographics.com/clackamas-county-demographics" xr:uid="{8876046C-EE89-5145-8E0C-76B738E77E35}"/>
    <hyperlink ref="B57" r:id="rId4" display="https://www.oregon-demographics.com/lane-county-demographics" xr:uid="{453F46A8-F029-DD4F-AC62-BD10216C7D70}"/>
    <hyperlink ref="B61" r:id="rId5" display="https://www.oregon-demographics.com/marion-county-demographics" xr:uid="{91003A21-7192-094B-ACD2-CF9A5B08CE33}"/>
    <hyperlink ref="B52" r:id="rId6" display="https://www.oregon-demographics.com/jackson-county-demographics" xr:uid="{B29DAA71-A05E-7D43-B591-B3006279673D}"/>
    <hyperlink ref="B46" r:id="rId7" display="https://www.oregon-demographics.com/deschutes-county-demographics" xr:uid="{B8C1F722-BB27-B648-9E22-7F736287B8C8}"/>
    <hyperlink ref="B59" r:id="rId8" display="https://www.oregon-demographics.com/linn-county-demographics" xr:uid="{D859FD00-EF53-E640-A7C4-1FB337E4B239}"/>
    <hyperlink ref="B47" r:id="rId9" display="https://www.oregon-demographics.com/douglas-county-demographics" xr:uid="{15792BCE-130B-9647-AE8B-88635026A55D}"/>
    <hyperlink ref="B71" r:id="rId10" display="https://www.oregon-demographics.com/yamhill-county-demographics" xr:uid="{EB6AD1F9-42BC-9946-8AC2-F1DFB8A12579}"/>
    <hyperlink ref="B39" r:id="rId11" display="https://www.oregon-demographics.com/benton-county-demographics" xr:uid="{005D7E25-64C9-6847-AEBA-56C6F3E4F836}"/>
    <hyperlink ref="B54" r:id="rId12" display="https://www.oregon-demographics.com/josephine-county-demographics" xr:uid="{078EE5B1-C7FF-3E43-BD8C-5312B25E1C68}"/>
    <hyperlink ref="B64" r:id="rId13" display="https://www.oregon-demographics.com/polk-county-demographics" xr:uid="{268D1FA2-29CC-F746-8D1C-A6ED96B0F957}"/>
    <hyperlink ref="B66" r:id="rId14" display="https://www.oregon-demographics.com/umatilla-county-demographics" xr:uid="{9733CAB4-0BC3-3142-9B1F-A8EEAF26F0B4}"/>
    <hyperlink ref="B55" r:id="rId15" display="https://www.oregon-demographics.com/klamath-county-demographics" xr:uid="{C2BB9ADF-9013-AD47-B846-643FDA44075B}"/>
    <hyperlink ref="B43" r:id="rId16" display="https://www.oregon-demographics.com/coos-county-demographics" xr:uid="{52876AB9-9744-2B46-BE2B-41568A85AF3B}"/>
    <hyperlink ref="B42" r:id="rId17" display="https://www.oregon-demographics.com/columbia-county-demographics" xr:uid="{A8807FE2-56D7-EB4F-8532-8FC951B283E4}"/>
    <hyperlink ref="B58" r:id="rId18" display="https://www.oregon-demographics.com/lincoln-county-demographics" xr:uid="{B23E8F91-422E-7E42-A393-C2CBE74BB22A}"/>
    <hyperlink ref="B41" r:id="rId19" display="https://www.oregon-demographics.com/clatsop-county-demographics" xr:uid="{3ED21617-91A6-244A-BBA8-878786B14C98}"/>
    <hyperlink ref="B60" r:id="rId20" display="https://www.oregon-demographics.com/malheur-county-demographics" xr:uid="{6B22E711-9B28-6543-92B5-8E03A499FA88}"/>
    <hyperlink ref="B65" r:id="rId21" display="https://www.oregon-demographics.com/tillamook-county-demographics" xr:uid="{A23C6353-765B-5A41-9458-C620126937EB}"/>
    <hyperlink ref="B67" r:id="rId22" display="https://www.oregon-demographics.com/union-county-demographics" xr:uid="{0C36400A-A923-694B-AA3B-6050EB07AA58}"/>
    <hyperlink ref="B69" r:id="rId23" display="https://www.oregon-demographics.com/wasco-county-demographics" xr:uid="{E740492A-19DC-B647-84BE-DD7850FF50E5}"/>
    <hyperlink ref="B53" r:id="rId24" display="https://www.oregon-demographics.com/jefferson-county-demographics" xr:uid="{63EB360C-9904-3749-AD0D-DD3C7F899CE1}"/>
    <hyperlink ref="B44" r:id="rId25" display="https://www.oregon-demographics.com/crook-county-demographics" xr:uid="{C942379B-EFB8-0D40-9D50-B491C5989238}"/>
    <hyperlink ref="B51" r:id="rId26" display="https://www.oregon-demographics.com/hood-river-county-demographics" xr:uid="{45EE34DD-DF61-FF40-843A-4CF5498BA73B}"/>
    <hyperlink ref="B45" r:id="rId27" display="https://www.oregon-demographics.com/curry-county-demographics" xr:uid="{5A47E822-DA67-2247-9B1A-62B459BA08A1}"/>
    <hyperlink ref="B38" r:id="rId28" display="https://www.oregon-demographics.com/baker-county-demographics" xr:uid="{4DC39FE5-8CFA-C24F-B368-DE999748F10D}"/>
    <hyperlink ref="B62" r:id="rId29" display="https://www.oregon-demographics.com/morrow-county-demographics" xr:uid="{EF42C75A-F834-7949-A199-C04A402AEC5B}"/>
    <hyperlink ref="B56" r:id="rId30" display="https://www.oregon-demographics.com/lake-county-demographics" xr:uid="{A4D5E166-5CD5-814E-B82A-23D9937BE7D1}"/>
    <hyperlink ref="B50" r:id="rId31" display="https://www.oregon-demographics.com/harney-county-demographics" xr:uid="{DF4E7A76-30F2-E444-8F97-54E066C10D20}"/>
    <hyperlink ref="B49" r:id="rId32" display="https://www.oregon-demographics.com/grant-county-demographics" xr:uid="{61B2940D-475C-9248-81DF-89B25A58C505}"/>
    <hyperlink ref="B68" r:id="rId33" display="https://www.oregon-demographics.com/wallowa-county-demographics" xr:uid="{0263F5A9-F1A7-5F4E-94DD-E3430EB14D64}"/>
    <hyperlink ref="B48" r:id="rId34" display="https://www.oregon-demographics.com/gilliam-county-demographics" xr:uid="{BE65AC05-7DB5-B849-B647-2D2AB53FEA6F}"/>
  </hyperlinks>
  <pageMargins left="0.7" right="0.7" top="0.75" bottom="0.75" header="0.3" footer="0.3"/>
  <tableParts count="2">
    <tablePart r:id="rId35"/>
    <tablePart r:id="rId36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10FD-526E-014E-9CC6-3A6BFCE770FA}">
  <dimension ref="A1:S509"/>
  <sheetViews>
    <sheetView topLeftCell="E1" workbookViewId="0">
      <selection activeCell="R2" sqref="R2:R4"/>
    </sheetView>
  </sheetViews>
  <sheetFormatPr baseColWidth="10" defaultRowHeight="13"/>
  <cols>
    <col min="2" max="2" width="12.83203125" customWidth="1"/>
    <col min="3" max="3" width="17.33203125" customWidth="1"/>
    <col min="5" max="5" width="9.1640625" bestFit="1" customWidth="1"/>
    <col min="6" max="6" width="9.1640625" style="1" customWidth="1"/>
    <col min="8" max="8" width="28.6640625" bestFit="1" customWidth="1"/>
    <col min="9" max="9" width="18.33203125" customWidth="1"/>
    <col min="10" max="10" width="18.33203125" style="1" customWidth="1"/>
    <col min="11" max="11" width="15.5" customWidth="1"/>
    <col min="12" max="12" width="17.33203125" customWidth="1"/>
    <col min="13" max="13" width="17.33203125" style="1" customWidth="1"/>
    <col min="14" max="14" width="14.5" customWidth="1"/>
    <col min="16" max="16" width="10.83203125" style="1"/>
    <col min="17" max="17" width="16" style="1" bestFit="1" customWidth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s="44" t="s">
        <v>1686</v>
      </c>
      <c r="H1" s="15" t="s">
        <v>165</v>
      </c>
      <c r="I1" s="15" t="s">
        <v>166</v>
      </c>
      <c r="J1" s="15" t="s">
        <v>1677</v>
      </c>
      <c r="K1" s="15" t="s">
        <v>167</v>
      </c>
      <c r="L1" s="15" t="s">
        <v>168</v>
      </c>
      <c r="M1" s="15" t="s">
        <v>1687</v>
      </c>
      <c r="N1" s="15" t="s">
        <v>169</v>
      </c>
      <c r="O1" s="15" t="s">
        <v>62</v>
      </c>
      <c r="R1" t="s">
        <v>267</v>
      </c>
      <c r="S1" t="s">
        <v>328</v>
      </c>
    </row>
    <row r="2" spans="1:19" ht="20">
      <c r="A2" s="30" t="s">
        <v>69</v>
      </c>
      <c r="B2" s="31" t="s">
        <v>70</v>
      </c>
      <c r="C2" s="30" t="s">
        <v>1</v>
      </c>
      <c r="D2" s="30" t="s">
        <v>558</v>
      </c>
      <c r="E2" s="30">
        <v>16.997959999999999</v>
      </c>
      <c r="F2" s="31">
        <f t="shared" ref="F2:F65" si="0">E2/(MAX(E:E)-MIN(E:E))</f>
        <v>0.45394556753077114</v>
      </c>
      <c r="H2" s="16" t="s">
        <v>170</v>
      </c>
      <c r="I2" s="17">
        <v>15110</v>
      </c>
      <c r="J2" s="91">
        <f>Table6[[#This Row],[TRUMP VOTES]]/C257</f>
        <v>0.26089058480238964</v>
      </c>
      <c r="K2" s="18">
        <v>0.78600000000000003</v>
      </c>
      <c r="L2" s="17">
        <v>3955</v>
      </c>
      <c r="M2" s="91">
        <f>Table6[[#This Row],[BIDEN VOTES]]/C257</f>
        <v>6.8287376763299198E-2</v>
      </c>
      <c r="N2" s="18">
        <v>0.20599999999999999</v>
      </c>
      <c r="O2" s="92">
        <f>1-(Table6[[#This Row],[NbP]]+Table6[[#This Row],[NbP2]])</f>
        <v>0.6708220384343111</v>
      </c>
      <c r="Q2" s="81" t="s">
        <v>1671</v>
      </c>
      <c r="R2" s="81">
        <f>CORREL(F:F,J:J)</f>
        <v>-5.5120294615560318E-2</v>
      </c>
      <c r="S2" s="81">
        <v>0.1</v>
      </c>
    </row>
    <row r="3" spans="1:19" ht="20">
      <c r="A3" s="32" t="s">
        <v>69</v>
      </c>
      <c r="B3" s="33" t="s">
        <v>559</v>
      </c>
      <c r="C3" s="32" t="s">
        <v>1</v>
      </c>
      <c r="D3" s="32" t="s">
        <v>558</v>
      </c>
      <c r="E3" s="32">
        <v>9.6336300000000001</v>
      </c>
      <c r="F3" s="31">
        <f t="shared" si="0"/>
        <v>0.25727461634993043</v>
      </c>
      <c r="H3" s="16" t="s">
        <v>331</v>
      </c>
      <c r="I3" s="17">
        <v>4943</v>
      </c>
      <c r="J3" s="91">
        <f>Table6[[#This Row],[TRUMP VOTES]]/C258</f>
        <v>0.27119109014099962</v>
      </c>
      <c r="K3" s="18">
        <v>0.84299999999999997</v>
      </c>
      <c r="L3" s="19">
        <v>850</v>
      </c>
      <c r="M3" s="91">
        <f>Table6[[#This Row],[BIDEN VOTES]]/C258</f>
        <v>4.6634114226148021E-2</v>
      </c>
      <c r="N3" s="18">
        <v>0.14499999999999999</v>
      </c>
      <c r="O3" s="92">
        <f>1-(Table6[[#This Row],[NbP]]+Table6[[#This Row],[NbP2]])</f>
        <v>0.68217479563285233</v>
      </c>
      <c r="Q3" s="81" t="s">
        <v>1672</v>
      </c>
      <c r="R3" s="81">
        <f>CORREL(F:F,M:M)</f>
        <v>-3.8793818283939956E-2</v>
      </c>
      <c r="S3" s="81">
        <v>0.1</v>
      </c>
    </row>
    <row r="4" spans="1:19" ht="20">
      <c r="A4" s="30" t="s">
        <v>69</v>
      </c>
      <c r="B4" s="31" t="s">
        <v>560</v>
      </c>
      <c r="C4" s="30" t="s">
        <v>1</v>
      </c>
      <c r="D4" s="30" t="s">
        <v>558</v>
      </c>
      <c r="E4" s="30">
        <v>12.61378</v>
      </c>
      <c r="F4" s="31">
        <f t="shared" si="0"/>
        <v>0.33686215997733204</v>
      </c>
      <c r="H4" s="16" t="s">
        <v>332</v>
      </c>
      <c r="I4" s="17">
        <v>25076</v>
      </c>
      <c r="J4" s="91">
        <f>Table6[[#This Row],[TRUMP VOTES]]/C259</f>
        <v>0.28783617810121787</v>
      </c>
      <c r="K4" s="18">
        <v>0.72499999999999998</v>
      </c>
      <c r="L4" s="17">
        <v>9143</v>
      </c>
      <c r="M4" s="91">
        <f>Table6[[#This Row],[BIDEN VOTES]]/C259</f>
        <v>0.10494840390729922</v>
      </c>
      <c r="N4" s="18">
        <v>0.26400000000000001</v>
      </c>
      <c r="O4" s="92">
        <f>1-(Table6[[#This Row],[NbP]]+Table6[[#This Row],[NbP2]])</f>
        <v>0.60721541799148293</v>
      </c>
      <c r="Q4" s="81" t="s">
        <v>1679</v>
      </c>
      <c r="R4" s="81">
        <f>CORREL(F:F,O:O)</f>
        <v>8.6365013874460259E-2</v>
      </c>
      <c r="S4" s="81">
        <v>0.1</v>
      </c>
    </row>
    <row r="5" spans="1:19" ht="20">
      <c r="A5" s="32" t="s">
        <v>69</v>
      </c>
      <c r="B5" s="33" t="s">
        <v>561</v>
      </c>
      <c r="C5" s="32" t="s">
        <v>1</v>
      </c>
      <c r="D5" s="32" t="s">
        <v>558</v>
      </c>
      <c r="E5" s="32">
        <v>22.962109999999999</v>
      </c>
      <c r="F5" s="31">
        <f t="shared" si="0"/>
        <v>0.61322347244339892</v>
      </c>
      <c r="H5" s="16" t="s">
        <v>333</v>
      </c>
      <c r="I5" s="17">
        <v>9239</v>
      </c>
      <c r="J5" s="91">
        <f>Table6[[#This Row],[TRUMP VOTES]]/C260</f>
        <v>0.38146160198183321</v>
      </c>
      <c r="K5" s="18">
        <v>0.752</v>
      </c>
      <c r="L5" s="17">
        <v>2916</v>
      </c>
      <c r="M5" s="91">
        <f>Table6[[#This Row],[BIDEN VOTES]]/C260</f>
        <v>0.1203963666391412</v>
      </c>
      <c r="N5" s="18">
        <v>0.23699999999999999</v>
      </c>
      <c r="O5" s="92">
        <f>1-(Table6[[#This Row],[NbP]]+Table6[[#This Row],[NbP2]])</f>
        <v>0.49814203137902557</v>
      </c>
      <c r="Q5" s="81"/>
      <c r="R5" s="81"/>
      <c r="S5" s="81"/>
    </row>
    <row r="6" spans="1:19" ht="20">
      <c r="A6" s="30" t="s">
        <v>69</v>
      </c>
      <c r="B6" s="31" t="s">
        <v>562</v>
      </c>
      <c r="C6" s="30" t="s">
        <v>1</v>
      </c>
      <c r="D6" s="30" t="s">
        <v>558</v>
      </c>
      <c r="E6" s="30">
        <v>10</v>
      </c>
      <c r="F6" s="31">
        <f t="shared" si="0"/>
        <v>0.26705885149204445</v>
      </c>
      <c r="H6" s="16" t="s">
        <v>334</v>
      </c>
      <c r="I6" s="17">
        <v>4300</v>
      </c>
      <c r="J6" s="91">
        <f>Table6[[#This Row],[TRUMP VOTES]]/C261</f>
        <v>0.49120402101896277</v>
      </c>
      <c r="K6" s="18">
        <v>0.89700000000000002</v>
      </c>
      <c r="L6" s="19">
        <v>446</v>
      </c>
      <c r="M6" s="91">
        <f>Table6[[#This Row],[BIDEN VOTES]]/C261</f>
        <v>5.094813799405986E-2</v>
      </c>
      <c r="N6" s="18">
        <v>9.2999999999999999E-2</v>
      </c>
      <c r="O6" s="92">
        <f>1-(Table6[[#This Row],[NbP]]+Table6[[#This Row],[NbP2]])</f>
        <v>0.45784784098697739</v>
      </c>
      <c r="Q6" s="81"/>
      <c r="R6" s="81"/>
      <c r="S6" s="81"/>
    </row>
    <row r="7" spans="1:19" ht="20">
      <c r="A7" s="32" t="s">
        <v>69</v>
      </c>
      <c r="B7" s="33" t="s">
        <v>563</v>
      </c>
      <c r="C7" s="32" t="s">
        <v>1</v>
      </c>
      <c r="D7" s="32" t="s">
        <v>558</v>
      </c>
      <c r="E7" s="32">
        <v>0</v>
      </c>
      <c r="F7" s="31">
        <f t="shared" si="0"/>
        <v>0</v>
      </c>
      <c r="H7" s="16" t="s">
        <v>335</v>
      </c>
      <c r="I7" s="17">
        <v>1035</v>
      </c>
      <c r="J7" s="91">
        <f>Table6[[#This Row],[TRUMP VOTES]]/C262</f>
        <v>0.53076923076923077</v>
      </c>
      <c r="K7" s="18">
        <v>0.93100000000000005</v>
      </c>
      <c r="L7" s="19">
        <v>75</v>
      </c>
      <c r="M7" s="91">
        <f>Table6[[#This Row],[BIDEN VOTES]]/C262</f>
        <v>3.8461538461538464E-2</v>
      </c>
      <c r="N7" s="18">
        <v>6.7000000000000004E-2</v>
      </c>
      <c r="O7" s="92">
        <f>1-(Table6[[#This Row],[NbP]]+Table6[[#This Row],[NbP2]])</f>
        <v>0.43076923076923079</v>
      </c>
      <c r="Q7" s="81"/>
      <c r="R7" s="81"/>
      <c r="S7" s="81"/>
    </row>
    <row r="8" spans="1:19" ht="20">
      <c r="A8" s="30" t="s">
        <v>69</v>
      </c>
      <c r="B8" s="31" t="s">
        <v>564</v>
      </c>
      <c r="C8" s="30" t="s">
        <v>1</v>
      </c>
      <c r="D8" s="30" t="s">
        <v>558</v>
      </c>
      <c r="E8" s="30">
        <v>17.899760000000001</v>
      </c>
      <c r="F8" s="31">
        <f t="shared" si="0"/>
        <v>0.47802893475832375</v>
      </c>
      <c r="H8" s="16" t="s">
        <v>336</v>
      </c>
      <c r="I8" s="17">
        <v>12039</v>
      </c>
      <c r="J8" s="91">
        <f>Table6[[#This Row],[TRUMP VOTES]]/C263</f>
        <v>0.23984938438857234</v>
      </c>
      <c r="K8" s="18">
        <v>0.66500000000000004</v>
      </c>
      <c r="L8" s="17">
        <v>5876</v>
      </c>
      <c r="M8" s="91">
        <f>Table6[[#This Row],[BIDEN VOTES]]/C263</f>
        <v>0.11706578475515002</v>
      </c>
      <c r="N8" s="18">
        <v>0.32400000000000001</v>
      </c>
      <c r="O8" s="92">
        <f>1-(Table6[[#This Row],[NbP]]+Table6[[#This Row],[NbP2]])</f>
        <v>0.64308483085627766</v>
      </c>
      <c r="Q8" s="81"/>
      <c r="R8" s="81"/>
      <c r="S8" s="81"/>
    </row>
    <row r="9" spans="1:19" ht="20">
      <c r="A9" s="32" t="s">
        <v>69</v>
      </c>
      <c r="B9" s="33" t="s">
        <v>565</v>
      </c>
      <c r="C9" s="32" t="s">
        <v>1</v>
      </c>
      <c r="D9" s="32" t="s">
        <v>558</v>
      </c>
      <c r="E9" s="32">
        <v>6.7742899999999997</v>
      </c>
      <c r="F9" s="31">
        <f t="shared" si="0"/>
        <v>0.18091341070740419</v>
      </c>
      <c r="H9" s="16" t="s">
        <v>337</v>
      </c>
      <c r="I9" s="17">
        <v>11447</v>
      </c>
      <c r="J9" s="91">
        <f>Table6[[#This Row],[TRUMP VOTES]]/C264</f>
        <v>0.38294526963736114</v>
      </c>
      <c r="K9" s="18">
        <v>0.78700000000000003</v>
      </c>
      <c r="L9" s="17">
        <v>2951</v>
      </c>
      <c r="M9" s="91">
        <f>Table6[[#This Row],[BIDEN VOTES]]/C264</f>
        <v>9.8722066104643388E-2</v>
      </c>
      <c r="N9" s="18">
        <v>0.20300000000000001</v>
      </c>
      <c r="O9" s="92">
        <f>1-(Table6[[#This Row],[NbP]]+Table6[[#This Row],[NbP2]])</f>
        <v>0.51833266425799551</v>
      </c>
    </row>
    <row r="10" spans="1:19" ht="20">
      <c r="A10" s="30" t="s">
        <v>69</v>
      </c>
      <c r="B10" s="31" t="s">
        <v>566</v>
      </c>
      <c r="C10" s="30" t="s">
        <v>1</v>
      </c>
      <c r="D10" s="30" t="s">
        <v>558</v>
      </c>
      <c r="E10" s="30">
        <v>10.32258</v>
      </c>
      <c r="F10" s="31">
        <f t="shared" si="0"/>
        <v>0.27567363592347482</v>
      </c>
      <c r="H10" s="16" t="s">
        <v>338</v>
      </c>
      <c r="I10" s="17">
        <v>1434</v>
      </c>
      <c r="J10" s="91">
        <f>Table6[[#This Row],[TRUMP VOTES]]/C265</f>
        <v>0.20734528629265472</v>
      </c>
      <c r="K10" s="18">
        <v>0.77100000000000002</v>
      </c>
      <c r="L10" s="19">
        <v>409</v>
      </c>
      <c r="M10" s="91">
        <f>Table6[[#This Row],[BIDEN VOTES]]/C265</f>
        <v>5.9138230190861771E-2</v>
      </c>
      <c r="N10" s="18">
        <v>0.22</v>
      </c>
      <c r="O10" s="92">
        <f>1-(Table6[[#This Row],[NbP]]+Table6[[#This Row],[NbP2]])</f>
        <v>0.73351648351648358</v>
      </c>
    </row>
    <row r="11" spans="1:19" ht="20">
      <c r="A11" s="32" t="s">
        <v>69</v>
      </c>
      <c r="B11" s="33" t="s">
        <v>567</v>
      </c>
      <c r="C11" s="32" t="s">
        <v>1</v>
      </c>
      <c r="D11" s="32" t="s">
        <v>558</v>
      </c>
      <c r="E11" s="32">
        <v>13.98601</v>
      </c>
      <c r="F11" s="31">
        <f t="shared" si="0"/>
        <v>0.37350877675562488</v>
      </c>
      <c r="H11" s="16" t="s">
        <v>339</v>
      </c>
      <c r="I11" s="17">
        <v>10057</v>
      </c>
      <c r="J11" s="91">
        <f>Table6[[#This Row],[TRUMP VOTES]]/C266</f>
        <v>0.4416776460254721</v>
      </c>
      <c r="K11" s="18">
        <v>0.79100000000000004</v>
      </c>
      <c r="L11" s="17">
        <v>2505</v>
      </c>
      <c r="M11" s="91">
        <f>Table6[[#This Row],[BIDEN VOTES]]/C266</f>
        <v>0.11001317523056653</v>
      </c>
      <c r="N11" s="18">
        <v>0.19700000000000001</v>
      </c>
      <c r="O11" s="92">
        <f>1-(Table6[[#This Row],[NbP]]+Table6[[#This Row],[NbP2]])</f>
        <v>0.44830917874396137</v>
      </c>
    </row>
    <row r="12" spans="1:19" ht="20">
      <c r="A12" s="30" t="s">
        <v>69</v>
      </c>
      <c r="B12" s="31" t="s">
        <v>568</v>
      </c>
      <c r="C12" s="30" t="s">
        <v>1</v>
      </c>
      <c r="D12" s="30" t="s">
        <v>558</v>
      </c>
      <c r="E12" s="30">
        <v>13.50442</v>
      </c>
      <c r="F12" s="31">
        <f t="shared" si="0"/>
        <v>0.36064748952661951</v>
      </c>
      <c r="H12" s="16" t="s">
        <v>340</v>
      </c>
      <c r="I12" s="17">
        <v>20516</v>
      </c>
      <c r="J12" s="91">
        <f>Table6[[#This Row],[TRUMP VOTES]]/C267</f>
        <v>0.23625329632998998</v>
      </c>
      <c r="K12" s="18">
        <v>0.56000000000000005</v>
      </c>
      <c r="L12" s="17">
        <v>15474</v>
      </c>
      <c r="M12" s="91">
        <f>Table6[[#This Row],[BIDEN VOTES]]/C267</f>
        <v>0.17819182625318117</v>
      </c>
      <c r="N12" s="18">
        <v>0.42199999999999999</v>
      </c>
      <c r="O12" s="92">
        <f>1-(Table6[[#This Row],[NbP]]+Table6[[#This Row],[NbP2]])</f>
        <v>0.58555487741682888</v>
      </c>
    </row>
    <row r="13" spans="1:19" ht="20">
      <c r="A13" s="32" t="s">
        <v>69</v>
      </c>
      <c r="B13" s="33" t="s">
        <v>569</v>
      </c>
      <c r="C13" s="32" t="s">
        <v>1</v>
      </c>
      <c r="D13" s="32" t="s">
        <v>558</v>
      </c>
      <c r="E13" s="32">
        <v>24.721879999999999</v>
      </c>
      <c r="F13" s="31">
        <f t="shared" si="0"/>
        <v>0.66021968795241437</v>
      </c>
      <c r="H13" s="16" t="s">
        <v>341</v>
      </c>
      <c r="I13" s="17">
        <v>1494</v>
      </c>
      <c r="J13" s="91">
        <f>Table6[[#This Row],[TRUMP VOTES]]/C268</f>
        <v>0.41966292134831462</v>
      </c>
      <c r="K13" s="18">
        <v>0.879</v>
      </c>
      <c r="L13" s="19">
        <v>183</v>
      </c>
      <c r="M13" s="91">
        <f>Table6[[#This Row],[BIDEN VOTES]]/C268</f>
        <v>5.1404494382022471E-2</v>
      </c>
      <c r="N13" s="18">
        <v>0.108</v>
      </c>
      <c r="O13" s="92">
        <f>1-(Table6[[#This Row],[NbP]]+Table6[[#This Row],[NbP2]])</f>
        <v>0.52893258426966283</v>
      </c>
    </row>
    <row r="14" spans="1:19" ht="20">
      <c r="A14" s="30" t="s">
        <v>69</v>
      </c>
      <c r="B14" s="31" t="s">
        <v>570</v>
      </c>
      <c r="C14" s="30" t="s">
        <v>1</v>
      </c>
      <c r="D14" s="30" t="s">
        <v>558</v>
      </c>
      <c r="E14" s="30">
        <v>12.15645</v>
      </c>
      <c r="F14" s="31">
        <f t="shared" si="0"/>
        <v>0.32464875752204636</v>
      </c>
      <c r="H14" s="16" t="s">
        <v>342</v>
      </c>
      <c r="I14" s="17">
        <v>6006</v>
      </c>
      <c r="J14" s="91">
        <f>Table6[[#This Row],[TRUMP VOTES]]/C269</f>
        <v>0.18418228096537764</v>
      </c>
      <c r="K14" s="18">
        <v>0.63800000000000001</v>
      </c>
      <c r="L14" s="17">
        <v>3288</v>
      </c>
      <c r="M14" s="91">
        <f>Table6[[#This Row],[BIDEN VOTES]]/C269</f>
        <v>0.10083105891011684</v>
      </c>
      <c r="N14" s="18">
        <v>0.34899999999999998</v>
      </c>
      <c r="O14" s="92">
        <f>1-(Table6[[#This Row],[NbP]]+Table6[[#This Row],[NbP2]])</f>
        <v>0.71498666012450551</v>
      </c>
    </row>
    <row r="15" spans="1:19" ht="20">
      <c r="A15" s="32" t="s">
        <v>69</v>
      </c>
      <c r="B15" s="33" t="s">
        <v>571</v>
      </c>
      <c r="C15" s="32" t="s">
        <v>1</v>
      </c>
      <c r="D15" s="32" t="s">
        <v>558</v>
      </c>
      <c r="E15" s="32">
        <v>16.924890000000001</v>
      </c>
      <c r="F15" s="31">
        <f t="shared" si="0"/>
        <v>0.45199416850291885</v>
      </c>
      <c r="H15" s="16" t="s">
        <v>343</v>
      </c>
      <c r="I15" s="17">
        <v>67893</v>
      </c>
      <c r="J15" s="91">
        <f>Table6[[#This Row],[TRUMP VOTES]]/C270</f>
        <v>0.19087152094461626</v>
      </c>
      <c r="K15" s="18">
        <v>0.53300000000000003</v>
      </c>
      <c r="L15" s="17">
        <v>57014</v>
      </c>
      <c r="M15" s="91">
        <f>Table6[[#This Row],[BIDEN VOTES]]/C270</f>
        <v>0.16028675850435761</v>
      </c>
      <c r="N15" s="18">
        <v>0.44800000000000001</v>
      </c>
      <c r="O15" s="92">
        <f>1-(Table6[[#This Row],[NbP]]+Table6[[#This Row],[NbP2]])</f>
        <v>0.64884172055102618</v>
      </c>
    </row>
    <row r="16" spans="1:19" ht="20">
      <c r="A16" s="30" t="s">
        <v>69</v>
      </c>
      <c r="B16" s="31" t="s">
        <v>572</v>
      </c>
      <c r="C16" s="30" t="s">
        <v>1</v>
      </c>
      <c r="D16" s="30" t="s">
        <v>558</v>
      </c>
      <c r="E16" s="30">
        <v>10.30466</v>
      </c>
      <c r="F16" s="31">
        <f t="shared" si="0"/>
        <v>0.27519506646160108</v>
      </c>
      <c r="H16" s="16" t="s">
        <v>344</v>
      </c>
      <c r="I16" s="17">
        <v>308618</v>
      </c>
      <c r="J16" s="91">
        <f>Table6[[#This Row],[TRUMP VOTES]]/C271</f>
        <v>0.15596015010920616</v>
      </c>
      <c r="K16" s="18">
        <v>0.40100000000000002</v>
      </c>
      <c r="L16" s="17">
        <v>448452</v>
      </c>
      <c r="M16" s="91">
        <f>Table6[[#This Row],[BIDEN VOTES]]/C271</f>
        <v>0.22662528185904168</v>
      </c>
      <c r="N16" s="18">
        <v>0.58299999999999996</v>
      </c>
      <c r="O16" s="92">
        <f>1-(Table6[[#This Row],[NbP]]+Table6[[#This Row],[NbP2]])</f>
        <v>0.61741456803175221</v>
      </c>
    </row>
    <row r="17" spans="1:15" ht="20">
      <c r="A17" s="32" t="s">
        <v>69</v>
      </c>
      <c r="B17" s="33" t="s">
        <v>573</v>
      </c>
      <c r="C17" s="32" t="s">
        <v>1</v>
      </c>
      <c r="D17" s="32" t="s">
        <v>558</v>
      </c>
      <c r="E17" s="32">
        <v>8.5106400000000004</v>
      </c>
      <c r="F17" s="31">
        <f t="shared" si="0"/>
        <v>0.22728417438622533</v>
      </c>
      <c r="H17" s="16" t="s">
        <v>345</v>
      </c>
      <c r="I17" s="17">
        <v>5443</v>
      </c>
      <c r="J17" s="91">
        <f>Table6[[#This Row],[TRUMP VOTES]]/C272</f>
        <v>0.46390522458024375</v>
      </c>
      <c r="K17" s="18">
        <v>0.73099999999999998</v>
      </c>
      <c r="L17" s="17">
        <v>1911</v>
      </c>
      <c r="M17" s="91">
        <f>Table6[[#This Row],[BIDEN VOTES]]/C272</f>
        <v>0.16287394528253643</v>
      </c>
      <c r="N17" s="18">
        <v>0.25700000000000001</v>
      </c>
      <c r="O17" s="92">
        <f>1-(Table6[[#This Row],[NbP]]+Table6[[#This Row],[NbP2]])</f>
        <v>0.37322083013721985</v>
      </c>
    </row>
    <row r="18" spans="1:15" ht="20">
      <c r="A18" s="30" t="s">
        <v>69</v>
      </c>
      <c r="B18" s="31" t="s">
        <v>574</v>
      </c>
      <c r="C18" s="30" t="s">
        <v>1</v>
      </c>
      <c r="D18" s="30" t="s">
        <v>558</v>
      </c>
      <c r="E18" s="30">
        <v>0</v>
      </c>
      <c r="F18" s="31">
        <f t="shared" si="0"/>
        <v>0</v>
      </c>
      <c r="H18" s="16" t="s">
        <v>346</v>
      </c>
      <c r="I18" s="19">
        <v>397</v>
      </c>
      <c r="J18" s="91">
        <f>Table6[[#This Row],[TRUMP VOTES]]/C273</f>
        <v>0.60796324655436451</v>
      </c>
      <c r="K18" s="18">
        <v>0.95399999999999996</v>
      </c>
      <c r="L18" s="19">
        <v>16</v>
      </c>
      <c r="M18" s="91">
        <f>Table6[[#This Row],[BIDEN VOTES]]/C273</f>
        <v>2.4502297090352222E-2</v>
      </c>
      <c r="N18" s="18">
        <v>3.7999999999999999E-2</v>
      </c>
      <c r="O18" s="92">
        <f>1-(Table6[[#This Row],[NbP]]+Table6[[#This Row],[NbP2]])</f>
        <v>0.36753445635528326</v>
      </c>
    </row>
    <row r="19" spans="1:15" ht="20">
      <c r="A19" s="32" t="s">
        <v>69</v>
      </c>
      <c r="B19" s="33" t="s">
        <v>575</v>
      </c>
      <c r="C19" s="32" t="s">
        <v>1</v>
      </c>
      <c r="D19" s="32" t="s">
        <v>558</v>
      </c>
      <c r="E19" s="32">
        <v>19.903169999999999</v>
      </c>
      <c r="F19" s="31">
        <f t="shared" si="0"/>
        <v>0.5315317721250914</v>
      </c>
      <c r="H19" s="16" t="s">
        <v>347</v>
      </c>
      <c r="I19" s="17">
        <v>7469</v>
      </c>
      <c r="J19" s="91">
        <f>Table6[[#This Row],[TRUMP VOTES]]/C274</f>
        <v>0.4053071413067072</v>
      </c>
      <c r="K19" s="18">
        <v>0.81799999999999995</v>
      </c>
      <c r="L19" s="17">
        <v>1561</v>
      </c>
      <c r="M19" s="91">
        <f>Table6[[#This Row],[BIDEN VOTES]]/C274</f>
        <v>8.4708052962882571E-2</v>
      </c>
      <c r="N19" s="18">
        <v>0.17100000000000001</v>
      </c>
      <c r="O19" s="92">
        <f>1-(Table6[[#This Row],[NbP]]+Table6[[#This Row],[NbP2]])</f>
        <v>0.50998480573041016</v>
      </c>
    </row>
    <row r="20" spans="1:15" ht="20">
      <c r="A20" s="30" t="s">
        <v>69</v>
      </c>
      <c r="B20" s="31" t="s">
        <v>576</v>
      </c>
      <c r="C20" s="30" t="s">
        <v>1</v>
      </c>
      <c r="D20" s="30" t="s">
        <v>558</v>
      </c>
      <c r="E20" s="30">
        <v>11.88897</v>
      </c>
      <c r="F20" s="31">
        <f t="shared" si="0"/>
        <v>0.3175054673623372</v>
      </c>
      <c r="H20" s="16" t="s">
        <v>348</v>
      </c>
      <c r="I20" s="17">
        <v>27116</v>
      </c>
      <c r="J20" s="91">
        <f>Table6[[#This Row],[TRUMP VOTES]]/C275</f>
        <v>0.28963277862040976</v>
      </c>
      <c r="K20" s="18">
        <v>0.70899999999999996</v>
      </c>
      <c r="L20" s="17">
        <v>10747</v>
      </c>
      <c r="M20" s="91">
        <f>Table6[[#This Row],[BIDEN VOTES]]/C275</f>
        <v>0.11479139518489244</v>
      </c>
      <c r="N20" s="18">
        <v>0.28100000000000003</v>
      </c>
      <c r="O20" s="92">
        <f>1-(Table6[[#This Row],[NbP]]+Table6[[#This Row],[NbP2]])</f>
        <v>0.59557582619469773</v>
      </c>
    </row>
    <row r="21" spans="1:15" ht="20">
      <c r="A21" s="32" t="s">
        <v>69</v>
      </c>
      <c r="B21" s="33" t="s">
        <v>577</v>
      </c>
      <c r="C21" s="32" t="s">
        <v>1</v>
      </c>
      <c r="D21" s="32" t="s">
        <v>558</v>
      </c>
      <c r="E21" s="32">
        <v>6.7315800000000001</v>
      </c>
      <c r="F21" s="31">
        <f t="shared" si="0"/>
        <v>0.17977280235268167</v>
      </c>
      <c r="H21" s="16" t="s">
        <v>349</v>
      </c>
      <c r="I21" s="17">
        <v>90433</v>
      </c>
      <c r="J21" s="91">
        <f>Table6[[#This Row],[TRUMP VOTES]]/C276</f>
        <v>0.24570045264113111</v>
      </c>
      <c r="K21" s="18">
        <v>0.58399999999999996</v>
      </c>
      <c r="L21" s="17">
        <v>62228</v>
      </c>
      <c r="M21" s="91">
        <f>Table6[[#This Row],[BIDEN VOTES]]/C276</f>
        <v>0.16906934157832104</v>
      </c>
      <c r="N21" s="18">
        <v>0.40200000000000002</v>
      </c>
      <c r="O21" s="92">
        <f>1-(Table6[[#This Row],[NbP]]+Table6[[#This Row],[NbP2]])</f>
        <v>0.58523020578054785</v>
      </c>
    </row>
    <row r="22" spans="1:15" ht="20">
      <c r="A22" s="30" t="s">
        <v>69</v>
      </c>
      <c r="B22" s="31" t="s">
        <v>578</v>
      </c>
      <c r="C22" s="30" t="s">
        <v>1</v>
      </c>
      <c r="D22" s="30" t="s">
        <v>558</v>
      </c>
      <c r="E22" s="30">
        <v>9.5281599999999997</v>
      </c>
      <c r="F22" s="31">
        <f t="shared" si="0"/>
        <v>0.25445794664324384</v>
      </c>
      <c r="H22" s="16" t="s">
        <v>350</v>
      </c>
      <c r="I22" s="17">
        <v>47530</v>
      </c>
      <c r="J22" s="91">
        <f>Table6[[#This Row],[TRUMP VOTES]]/C277</f>
        <v>0.20996598489199098</v>
      </c>
      <c r="K22" s="18">
        <v>0.56000000000000005</v>
      </c>
      <c r="L22" s="17">
        <v>35349</v>
      </c>
      <c r="M22" s="91">
        <f>Table6[[#This Row],[BIDEN VOTES]]/C277</f>
        <v>0.15615585104033219</v>
      </c>
      <c r="N22" s="18">
        <v>0.41599999999999998</v>
      </c>
      <c r="O22" s="92">
        <f>1-(Table6[[#This Row],[NbP]]+Table6[[#This Row],[NbP2]])</f>
        <v>0.63387816406767683</v>
      </c>
    </row>
    <row r="23" spans="1:15" ht="20">
      <c r="A23" s="32" t="s">
        <v>69</v>
      </c>
      <c r="B23" s="33" t="s">
        <v>579</v>
      </c>
      <c r="C23" s="32" t="s">
        <v>1</v>
      </c>
      <c r="D23" s="32" t="s">
        <v>558</v>
      </c>
      <c r="E23" s="32">
        <v>5.4054099999999998</v>
      </c>
      <c r="F23" s="31">
        <f t="shared" si="0"/>
        <v>0.14435625864436119</v>
      </c>
      <c r="H23" s="16" t="s">
        <v>351</v>
      </c>
      <c r="I23" s="17">
        <v>2461</v>
      </c>
      <c r="J23" s="91">
        <f>Table6[[#This Row],[TRUMP VOTES]]/C278</f>
        <v>0.26660166829162601</v>
      </c>
      <c r="K23" s="18">
        <v>0.51</v>
      </c>
      <c r="L23" s="17">
        <v>2258</v>
      </c>
      <c r="M23" s="91">
        <f>Table6[[#This Row],[BIDEN VOTES]]/C278</f>
        <v>0.2446105514028816</v>
      </c>
      <c r="N23" s="18">
        <v>0.46800000000000003</v>
      </c>
      <c r="O23" s="92">
        <f>1-(Table6[[#This Row],[NbP]]+Table6[[#This Row],[NbP2]])</f>
        <v>0.48878778030549241</v>
      </c>
    </row>
    <row r="24" spans="1:15" ht="20">
      <c r="A24" s="30" t="s">
        <v>69</v>
      </c>
      <c r="B24" s="31" t="s">
        <v>580</v>
      </c>
      <c r="C24" s="30" t="s">
        <v>1</v>
      </c>
      <c r="D24" s="30" t="s">
        <v>558</v>
      </c>
      <c r="E24" s="30">
        <v>6.4308699999999996</v>
      </c>
      <c r="F24" s="31">
        <f t="shared" si="0"/>
        <v>0.17174207562946439</v>
      </c>
      <c r="H24" s="16" t="s">
        <v>352</v>
      </c>
      <c r="I24" s="19">
        <v>639</v>
      </c>
      <c r="J24" s="91">
        <f>Table6[[#This Row],[TRUMP VOTES]]/C279</f>
        <v>0.47403560830860536</v>
      </c>
      <c r="K24" s="18">
        <v>0.88100000000000001</v>
      </c>
      <c r="L24" s="19">
        <v>78</v>
      </c>
      <c r="M24" s="91">
        <f>Table6[[#This Row],[BIDEN VOTES]]/C279</f>
        <v>5.7863501483679525E-2</v>
      </c>
      <c r="N24" s="18">
        <v>0.108</v>
      </c>
      <c r="O24" s="92">
        <f>1-(Table6[[#This Row],[NbP]]+Table6[[#This Row],[NbP2]])</f>
        <v>0.46810089020771506</v>
      </c>
    </row>
    <row r="25" spans="1:15" ht="20">
      <c r="A25" s="32" t="s">
        <v>69</v>
      </c>
      <c r="B25" s="33" t="s">
        <v>581</v>
      </c>
      <c r="C25" s="32" t="s">
        <v>1</v>
      </c>
      <c r="D25" s="32" t="s">
        <v>558</v>
      </c>
      <c r="E25" s="32">
        <v>28.867100000000001</v>
      </c>
      <c r="F25" s="31">
        <f t="shared" si="0"/>
        <v>0.77092145719059968</v>
      </c>
      <c r="H25" s="16" t="s">
        <v>353</v>
      </c>
      <c r="I25" s="19">
        <v>998</v>
      </c>
      <c r="J25" s="91">
        <f>Table6[[#This Row],[TRUMP VOTES]]/C280</f>
        <v>0.14056338028169013</v>
      </c>
      <c r="K25" s="18">
        <v>0.40200000000000002</v>
      </c>
      <c r="L25" s="17">
        <v>1470</v>
      </c>
      <c r="M25" s="91">
        <f>Table6[[#This Row],[BIDEN VOTES]]/C280</f>
        <v>0.20704225352112676</v>
      </c>
      <c r="N25" s="18">
        <v>0.59199999999999997</v>
      </c>
      <c r="O25" s="92">
        <f>1-(Table6[[#This Row],[NbP]]+Table6[[#This Row],[NbP2]])</f>
        <v>0.65239436619718316</v>
      </c>
    </row>
    <row r="26" spans="1:15" ht="20">
      <c r="A26" s="30" t="s">
        <v>69</v>
      </c>
      <c r="B26" s="31" t="s">
        <v>582</v>
      </c>
      <c r="C26" s="30" t="s">
        <v>1</v>
      </c>
      <c r="D26" s="30" t="s">
        <v>558</v>
      </c>
      <c r="E26" s="30">
        <v>34.609020000000001</v>
      </c>
      <c r="F26" s="31">
        <f t="shared" si="0"/>
        <v>0.9242645132465197</v>
      </c>
      <c r="H26" s="16" t="s">
        <v>354</v>
      </c>
      <c r="I26" s="17">
        <v>13698</v>
      </c>
      <c r="J26" s="91">
        <f>Table6[[#This Row],[TRUMP VOTES]]/C281</f>
        <v>0.36233302473217827</v>
      </c>
      <c r="K26" s="18">
        <v>0.85799999999999998</v>
      </c>
      <c r="L26" s="17">
        <v>2107</v>
      </c>
      <c r="M26" s="91">
        <f>Table6[[#This Row],[BIDEN VOTES]]/C281</f>
        <v>5.5733368602036766E-2</v>
      </c>
      <c r="N26" s="18">
        <v>0.13200000000000001</v>
      </c>
      <c r="O26" s="92">
        <f>1-(Table6[[#This Row],[NbP]]+Table6[[#This Row],[NbP2]])</f>
        <v>0.58193360666578497</v>
      </c>
    </row>
    <row r="27" spans="1:15" ht="20">
      <c r="A27" s="32" t="s">
        <v>69</v>
      </c>
      <c r="B27" s="33" t="s">
        <v>583</v>
      </c>
      <c r="C27" s="32" t="s">
        <v>1</v>
      </c>
      <c r="D27" s="32" t="s">
        <v>558</v>
      </c>
      <c r="E27" s="32">
        <v>13.319929999999999</v>
      </c>
      <c r="F27" s="31">
        <f t="shared" si="0"/>
        <v>0.35572052077544275</v>
      </c>
      <c r="H27" s="16" t="s">
        <v>355</v>
      </c>
      <c r="I27" s="17">
        <v>6743</v>
      </c>
      <c r="J27" s="91">
        <f>Table6[[#This Row],[TRUMP VOTES]]/C282</f>
        <v>0.36974283050940399</v>
      </c>
      <c r="K27" s="18">
        <v>0.78300000000000003</v>
      </c>
      <c r="L27" s="17">
        <v>1788</v>
      </c>
      <c r="M27" s="91">
        <f>Table6[[#This Row],[BIDEN VOTES]]/C282</f>
        <v>9.804244119098536E-2</v>
      </c>
      <c r="N27" s="18">
        <v>0.20799999999999999</v>
      </c>
      <c r="O27" s="92">
        <f>1-(Table6[[#This Row],[NbP]]+Table6[[#This Row],[NbP2]])</f>
        <v>0.53221472829961058</v>
      </c>
    </row>
    <row r="28" spans="1:15" ht="20">
      <c r="A28" s="30" t="s">
        <v>69</v>
      </c>
      <c r="B28" s="31" t="s">
        <v>584</v>
      </c>
      <c r="C28" s="30" t="s">
        <v>1</v>
      </c>
      <c r="D28" s="30" t="s">
        <v>558</v>
      </c>
      <c r="E28" s="30">
        <v>15.372719999999999</v>
      </c>
      <c r="F28" s="31">
        <f t="shared" si="0"/>
        <v>0.41054209475087816</v>
      </c>
      <c r="H28" s="16" t="s">
        <v>356</v>
      </c>
      <c r="I28" s="17">
        <v>18767</v>
      </c>
      <c r="J28" s="91">
        <f>Table6[[#This Row],[TRUMP VOTES]]/C283</f>
        <v>0.39469588626230334</v>
      </c>
      <c r="K28" s="18">
        <v>0.76</v>
      </c>
      <c r="L28" s="17">
        <v>5639</v>
      </c>
      <c r="M28" s="91">
        <f>Table6[[#This Row],[BIDEN VOTES]]/C283</f>
        <v>0.11859594515016404</v>
      </c>
      <c r="N28" s="18">
        <v>0.22800000000000001</v>
      </c>
      <c r="O28" s="92">
        <f>1-(Table6[[#This Row],[NbP]]+Table6[[#This Row],[NbP2]])</f>
        <v>0.48670816858753263</v>
      </c>
    </row>
    <row r="29" spans="1:15" ht="20">
      <c r="A29" s="32" t="s">
        <v>69</v>
      </c>
      <c r="B29" s="33" t="s">
        <v>585</v>
      </c>
      <c r="C29" s="32" t="s">
        <v>1</v>
      </c>
      <c r="D29" s="32" t="s">
        <v>558</v>
      </c>
      <c r="E29" s="32">
        <v>14.949859999999999</v>
      </c>
      <c r="F29" s="31">
        <f t="shared" si="0"/>
        <v>0.39924924415668556</v>
      </c>
      <c r="H29" s="16" t="s">
        <v>357</v>
      </c>
      <c r="I29" s="17">
        <v>8031</v>
      </c>
      <c r="J29" s="91">
        <f>Table6[[#This Row],[TRUMP VOTES]]/C284</f>
        <v>0.1875656865263797</v>
      </c>
      <c r="K29" s="18">
        <v>0.53800000000000003</v>
      </c>
      <c r="L29" s="17">
        <v>6672</v>
      </c>
      <c r="M29" s="91">
        <f>Table6[[#This Row],[BIDEN VOTES]]/C284</f>
        <v>0.15582595697970433</v>
      </c>
      <c r="N29" s="18">
        <v>0.44700000000000001</v>
      </c>
      <c r="O29" s="92">
        <f>1-(Table6[[#This Row],[NbP]]+Table6[[#This Row],[NbP2]])</f>
        <v>0.65660835649391602</v>
      </c>
    </row>
    <row r="30" spans="1:15" ht="20">
      <c r="A30" s="30" t="s">
        <v>69</v>
      </c>
      <c r="B30" s="31" t="s">
        <v>586</v>
      </c>
      <c r="C30" s="30" t="s">
        <v>1</v>
      </c>
      <c r="D30" s="30" t="s">
        <v>558</v>
      </c>
      <c r="E30" s="30">
        <v>9.6745800000000006</v>
      </c>
      <c r="F30" s="31">
        <f t="shared" si="0"/>
        <v>0.25836822234679035</v>
      </c>
      <c r="H30" s="16" t="s">
        <v>358</v>
      </c>
      <c r="I30" s="17">
        <v>5641</v>
      </c>
      <c r="J30" s="91">
        <f>Table6[[#This Row],[TRUMP VOTES]]/C285</f>
        <v>0.26273870517000464</v>
      </c>
      <c r="K30" s="18">
        <v>0.71799999999999997</v>
      </c>
      <c r="L30" s="17">
        <v>2148</v>
      </c>
      <c r="M30" s="91">
        <f>Table6[[#This Row],[BIDEN VOTES]]/C285</f>
        <v>0.1000465766185375</v>
      </c>
      <c r="N30" s="18">
        <v>0.27300000000000002</v>
      </c>
      <c r="O30" s="92">
        <f>1-(Table6[[#This Row],[NbP]]+Table6[[#This Row],[NbP2]])</f>
        <v>0.63721471821145781</v>
      </c>
    </row>
    <row r="31" spans="1:15" ht="20">
      <c r="A31" s="32" t="s">
        <v>69</v>
      </c>
      <c r="B31" s="33" t="s">
        <v>587</v>
      </c>
      <c r="C31" s="32" t="s">
        <v>1</v>
      </c>
      <c r="D31" s="32" t="s">
        <v>558</v>
      </c>
      <c r="E31" s="32">
        <v>17.435099999999998</v>
      </c>
      <c r="F31" s="31">
        <f t="shared" si="0"/>
        <v>0.46561977816489436</v>
      </c>
      <c r="H31" s="16" t="s">
        <v>359</v>
      </c>
      <c r="I31" s="17">
        <v>6012</v>
      </c>
      <c r="J31" s="91">
        <f>Table6[[#This Row],[TRUMP VOTES]]/C286</f>
        <v>0.43068987749838816</v>
      </c>
      <c r="K31" s="18">
        <v>0.88</v>
      </c>
      <c r="L31" s="19">
        <v>734</v>
      </c>
      <c r="M31" s="91">
        <f>Table6[[#This Row],[BIDEN VOTES]]/C286</f>
        <v>5.2582563220861092E-2</v>
      </c>
      <c r="N31" s="18">
        <v>0.107</v>
      </c>
      <c r="O31" s="92">
        <f>1-(Table6[[#This Row],[NbP]]+Table6[[#This Row],[NbP2]])</f>
        <v>0.51672755928075076</v>
      </c>
    </row>
    <row r="32" spans="1:15" ht="20">
      <c r="A32" s="30" t="s">
        <v>69</v>
      </c>
      <c r="B32" s="31" t="s">
        <v>588</v>
      </c>
      <c r="C32" s="30" t="s">
        <v>1</v>
      </c>
      <c r="D32" s="30" t="s">
        <v>558</v>
      </c>
      <c r="E32" s="30">
        <v>8.3418700000000001</v>
      </c>
      <c r="F32" s="31">
        <f t="shared" si="0"/>
        <v>0.22277702214959408</v>
      </c>
      <c r="H32" s="16" t="s">
        <v>360</v>
      </c>
      <c r="I32" s="17">
        <v>49032</v>
      </c>
      <c r="J32" s="91">
        <f>Table6[[#This Row],[TRUMP VOTES]]/C287</f>
        <v>0.11615241569640045</v>
      </c>
      <c r="K32" s="18">
        <v>0.43</v>
      </c>
      <c r="L32" s="17">
        <v>64063</v>
      </c>
      <c r="M32" s="91">
        <f>Table6[[#This Row],[BIDEN VOTES]]/C287</f>
        <v>0.15175950821419687</v>
      </c>
      <c r="N32" s="18">
        <v>0.56100000000000005</v>
      </c>
      <c r="O32" s="92">
        <f>1-(Table6[[#This Row],[NbP]]+Table6[[#This Row],[NbP2]])</f>
        <v>0.73208807608940263</v>
      </c>
    </row>
    <row r="33" spans="1:15" ht="20">
      <c r="A33" s="32" t="s">
        <v>69</v>
      </c>
      <c r="B33" s="33" t="s">
        <v>589</v>
      </c>
      <c r="C33" s="32" t="s">
        <v>1</v>
      </c>
      <c r="D33" s="32" t="s">
        <v>558</v>
      </c>
      <c r="E33" s="32">
        <v>11.80387</v>
      </c>
      <c r="F33" s="31">
        <f t="shared" si="0"/>
        <v>0.31523279653613989</v>
      </c>
      <c r="H33" s="16" t="s">
        <v>361</v>
      </c>
      <c r="I33" s="17">
        <v>3626</v>
      </c>
      <c r="J33" s="91">
        <f>Table6[[#This Row],[TRUMP VOTES]]/C288</f>
        <v>0.28025970010820839</v>
      </c>
      <c r="K33" s="18">
        <v>0.71699999999999997</v>
      </c>
      <c r="L33" s="17">
        <v>1394</v>
      </c>
      <c r="M33" s="91">
        <f>Table6[[#This Row],[BIDEN VOTES]]/C288</f>
        <v>0.10774462822692843</v>
      </c>
      <c r="N33" s="18">
        <v>0.27600000000000002</v>
      </c>
      <c r="O33" s="92">
        <f>1-(Table6[[#This Row],[NbP]]+Table6[[#This Row],[NbP2]])</f>
        <v>0.61199567166486313</v>
      </c>
    </row>
    <row r="34" spans="1:15" ht="20">
      <c r="A34" s="30" t="s">
        <v>69</v>
      </c>
      <c r="B34" s="31" t="s">
        <v>590</v>
      </c>
      <c r="C34" s="30" t="s">
        <v>1</v>
      </c>
      <c r="D34" s="30" t="s">
        <v>558</v>
      </c>
      <c r="E34" s="30">
        <v>16.704630000000002</v>
      </c>
      <c r="F34" s="31">
        <f t="shared" si="0"/>
        <v>0.4461119302399551</v>
      </c>
      <c r="H34" s="16" t="s">
        <v>362</v>
      </c>
      <c r="I34" s="17">
        <v>2779</v>
      </c>
      <c r="J34" s="91">
        <f>Table6[[#This Row],[TRUMP VOTES]]/C289</f>
        <v>0.46650998824911866</v>
      </c>
      <c r="K34" s="18">
        <v>0.89200000000000002</v>
      </c>
      <c r="L34" s="19">
        <v>297</v>
      </c>
      <c r="M34" s="91">
        <f>Table6[[#This Row],[BIDEN VOTES]]/C289</f>
        <v>4.9857310726875943E-2</v>
      </c>
      <c r="N34" s="18">
        <v>9.5000000000000001E-2</v>
      </c>
      <c r="O34" s="92">
        <f>1-(Table6[[#This Row],[NbP]]+Table6[[#This Row],[NbP2]])</f>
        <v>0.48363270102400535</v>
      </c>
    </row>
    <row r="35" spans="1:15" ht="20">
      <c r="A35" s="32" t="s">
        <v>69</v>
      </c>
      <c r="B35" s="33" t="s">
        <v>591</v>
      </c>
      <c r="C35" s="32" t="s">
        <v>1</v>
      </c>
      <c r="D35" s="32" t="s">
        <v>558</v>
      </c>
      <c r="E35" s="32">
        <v>15.842180000000001</v>
      </c>
      <c r="F35" s="31">
        <f t="shared" si="0"/>
        <v>0.42307943959302369</v>
      </c>
      <c r="H35" s="16" t="s">
        <v>363</v>
      </c>
      <c r="I35" s="17">
        <v>11033</v>
      </c>
      <c r="J35" s="91">
        <f>Table6[[#This Row],[TRUMP VOTES]]/C290</f>
        <v>0.36774215052329845</v>
      </c>
      <c r="K35" s="18">
        <v>0.79200000000000004</v>
      </c>
      <c r="L35" s="17">
        <v>2795</v>
      </c>
      <c r="M35" s="91">
        <f>Table6[[#This Row],[BIDEN VOTES]]/C290</f>
        <v>9.3160455969602027E-2</v>
      </c>
      <c r="N35" s="18">
        <v>0.20100000000000001</v>
      </c>
      <c r="O35" s="92">
        <f>1-(Table6[[#This Row],[NbP]]+Table6[[#This Row],[NbP2]])</f>
        <v>0.53909739350709951</v>
      </c>
    </row>
    <row r="36" spans="1:15" ht="20">
      <c r="A36" s="30" t="s">
        <v>69</v>
      </c>
      <c r="B36" s="31" t="s">
        <v>592</v>
      </c>
      <c r="C36" s="30" t="s">
        <v>1</v>
      </c>
      <c r="D36" s="30" t="s">
        <v>558</v>
      </c>
      <c r="E36" s="30">
        <v>8.2815700000000003</v>
      </c>
      <c r="F36" s="31">
        <f t="shared" si="0"/>
        <v>0.22116665727509707</v>
      </c>
      <c r="H36" s="16" t="s">
        <v>364</v>
      </c>
      <c r="I36" s="17">
        <v>1602</v>
      </c>
      <c r="J36" s="91">
        <f>Table6[[#This Row],[TRUMP VOTES]]/C291</f>
        <v>0.21187673588149716</v>
      </c>
      <c r="K36" s="18">
        <v>0.76900000000000002</v>
      </c>
      <c r="L36" s="19">
        <v>466</v>
      </c>
      <c r="M36" s="91">
        <f>Table6[[#This Row],[BIDEN VOTES]]/C291</f>
        <v>6.1632059251421768E-2</v>
      </c>
      <c r="N36" s="18">
        <v>0.224</v>
      </c>
      <c r="O36" s="92">
        <f>1-(Table6[[#This Row],[NbP]]+Table6[[#This Row],[NbP2]])</f>
        <v>0.72649120486708108</v>
      </c>
    </row>
    <row r="37" spans="1:15" ht="20">
      <c r="A37" s="32" t="s">
        <v>69</v>
      </c>
      <c r="B37" s="33" t="s">
        <v>593</v>
      </c>
      <c r="C37" s="32" t="s">
        <v>1</v>
      </c>
      <c r="D37" s="32" t="s">
        <v>558</v>
      </c>
      <c r="E37" s="32">
        <v>5.1437499999999998</v>
      </c>
      <c r="F37" s="31">
        <f t="shared" si="0"/>
        <v>0.13736839673622037</v>
      </c>
      <c r="H37" s="16" t="s">
        <v>365</v>
      </c>
      <c r="I37" s="17">
        <v>17353</v>
      </c>
      <c r="J37" s="91">
        <f>Table6[[#This Row],[TRUMP VOTES]]/C292</f>
        <v>0.40762490897559372</v>
      </c>
      <c r="K37" s="18">
        <v>0.80200000000000005</v>
      </c>
      <c r="L37" s="17">
        <v>3997</v>
      </c>
      <c r="M37" s="91">
        <f>Table6[[#This Row],[BIDEN VOTES]]/C292</f>
        <v>9.3890206948392105E-2</v>
      </c>
      <c r="N37" s="18">
        <v>0.185</v>
      </c>
      <c r="O37" s="92">
        <f>1-(Table6[[#This Row],[NbP]]+Table6[[#This Row],[NbP2]])</f>
        <v>0.49848488407601421</v>
      </c>
    </row>
    <row r="38" spans="1:15" ht="20">
      <c r="A38" s="30" t="s">
        <v>69</v>
      </c>
      <c r="B38" s="31" t="s">
        <v>594</v>
      </c>
      <c r="C38" s="30" t="s">
        <v>1</v>
      </c>
      <c r="D38" s="30" t="s">
        <v>558</v>
      </c>
      <c r="E38" s="30">
        <v>18.512899999999998</v>
      </c>
      <c r="F38" s="31">
        <f t="shared" si="0"/>
        <v>0.49440338117870691</v>
      </c>
      <c r="H38" s="16" t="s">
        <v>366</v>
      </c>
      <c r="I38" s="17">
        <v>15101</v>
      </c>
      <c r="J38" s="91">
        <f>Table6[[#This Row],[TRUMP VOTES]]/C293</f>
        <v>0.28851187405666684</v>
      </c>
      <c r="K38" s="18">
        <v>0.77400000000000002</v>
      </c>
      <c r="L38" s="17">
        <v>4210</v>
      </c>
      <c r="M38" s="91">
        <f>Table6[[#This Row],[BIDEN VOTES]]/C293</f>
        <v>8.0434076536558333E-2</v>
      </c>
      <c r="N38" s="18">
        <v>0.216</v>
      </c>
      <c r="O38" s="92">
        <f>1-(Table6[[#This Row],[NbP]]+Table6[[#This Row],[NbP2]])</f>
        <v>0.6310540494067749</v>
      </c>
    </row>
    <row r="39" spans="1:15" ht="20">
      <c r="A39" s="32" t="s">
        <v>69</v>
      </c>
      <c r="B39" s="33" t="s">
        <v>595</v>
      </c>
      <c r="C39" s="32" t="s">
        <v>1</v>
      </c>
      <c r="D39" s="32" t="s">
        <v>558</v>
      </c>
      <c r="E39" s="32">
        <v>18.465910000000001</v>
      </c>
      <c r="F39" s="31">
        <f t="shared" si="0"/>
        <v>0.49314847163554587</v>
      </c>
      <c r="H39" s="16" t="s">
        <v>367</v>
      </c>
      <c r="I39" s="17">
        <v>1943</v>
      </c>
      <c r="J39" s="91">
        <f>Table6[[#This Row],[TRUMP VOTES]]/C294</f>
        <v>0.26915085191854826</v>
      </c>
      <c r="K39" s="18">
        <v>0.85299999999999998</v>
      </c>
      <c r="L39" s="19">
        <v>310</v>
      </c>
      <c r="M39" s="91">
        <f>Table6[[#This Row],[BIDEN VOTES]]/C294</f>
        <v>4.2942235766726691E-2</v>
      </c>
      <c r="N39" s="18">
        <v>0.13600000000000001</v>
      </c>
      <c r="O39" s="92">
        <f>1-(Table6[[#This Row],[NbP]]+Table6[[#This Row],[NbP2]])</f>
        <v>0.68790691231472501</v>
      </c>
    </row>
    <row r="40" spans="1:15" ht="20">
      <c r="A40" s="30" t="s">
        <v>69</v>
      </c>
      <c r="B40" s="31" t="s">
        <v>84</v>
      </c>
      <c r="C40" s="30" t="s">
        <v>1</v>
      </c>
      <c r="D40" s="30" t="s">
        <v>558</v>
      </c>
      <c r="E40" s="30">
        <v>13.054830000000001</v>
      </c>
      <c r="F40" s="31">
        <f t="shared" si="0"/>
        <v>0.34864079062238867</v>
      </c>
      <c r="H40" s="16" t="s">
        <v>183</v>
      </c>
      <c r="I40" s="17">
        <v>5069</v>
      </c>
      <c r="J40" s="91">
        <f>Table6[[#This Row],[TRUMP VOTES]]/C295</f>
        <v>0.48535044044427422</v>
      </c>
      <c r="K40" s="18">
        <v>0.88300000000000001</v>
      </c>
      <c r="L40" s="19">
        <v>614</v>
      </c>
      <c r="M40" s="91">
        <f>Table6[[#This Row],[BIDEN VOTES]]/C295</f>
        <v>5.8789735733435468E-2</v>
      </c>
      <c r="N40" s="18">
        <v>0.107</v>
      </c>
      <c r="O40" s="92">
        <f>1-(Table6[[#This Row],[NbP]]+Table6[[#This Row],[NbP2]])</f>
        <v>0.45585982382229029</v>
      </c>
    </row>
    <row r="41" spans="1:15" ht="20">
      <c r="A41" s="32" t="s">
        <v>69</v>
      </c>
      <c r="B41" s="33" t="s">
        <v>596</v>
      </c>
      <c r="C41" s="32" t="s">
        <v>1</v>
      </c>
      <c r="D41" s="32" t="s">
        <v>558</v>
      </c>
      <c r="E41" s="32">
        <v>4.0941700000000001</v>
      </c>
      <c r="F41" s="31">
        <f t="shared" si="0"/>
        <v>0.10933843380131837</v>
      </c>
      <c r="H41" s="16" t="s">
        <v>368</v>
      </c>
      <c r="I41" s="19">
        <v>809</v>
      </c>
      <c r="J41" s="91">
        <f>Table6[[#This Row],[TRUMP VOTES]]/C296</f>
        <v>0.28286713286713289</v>
      </c>
      <c r="K41" s="18">
        <v>0.80900000000000005</v>
      </c>
      <c r="L41" s="19">
        <v>177</v>
      </c>
      <c r="M41" s="91">
        <f>Table6[[#This Row],[BIDEN VOTES]]/C296</f>
        <v>6.1888111888111885E-2</v>
      </c>
      <c r="N41" s="18">
        <v>0.17699999999999999</v>
      </c>
      <c r="O41" s="92">
        <f>1-(Table6[[#This Row],[NbP]]+Table6[[#This Row],[NbP2]])</f>
        <v>0.65524475524475523</v>
      </c>
    </row>
    <row r="42" spans="1:15" ht="20">
      <c r="A42" s="30" t="s">
        <v>69</v>
      </c>
      <c r="B42" s="31" t="s">
        <v>597</v>
      </c>
      <c r="C42" s="30" t="s">
        <v>1</v>
      </c>
      <c r="D42" s="30" t="s">
        <v>558</v>
      </c>
      <c r="E42" s="30">
        <v>4.9586800000000002</v>
      </c>
      <c r="F42" s="31">
        <f t="shared" si="0"/>
        <v>0.1324259385716571</v>
      </c>
      <c r="H42" s="16" t="s">
        <v>369</v>
      </c>
      <c r="I42" s="17">
        <v>1586</v>
      </c>
      <c r="J42" s="91">
        <f>Table6[[#This Row],[TRUMP VOTES]]/C297</f>
        <v>0.48089751364463312</v>
      </c>
      <c r="K42" s="18">
        <v>0.89200000000000002</v>
      </c>
      <c r="L42" s="19">
        <v>178</v>
      </c>
      <c r="M42" s="91">
        <f>Table6[[#This Row],[BIDEN VOTES]]/C297</f>
        <v>5.3972104305639784E-2</v>
      </c>
      <c r="N42" s="18">
        <v>0.1</v>
      </c>
      <c r="O42" s="92">
        <f>1-(Table6[[#This Row],[NbP]]+Table6[[#This Row],[NbP2]])</f>
        <v>0.46513038204972712</v>
      </c>
    </row>
    <row r="43" spans="1:15" ht="20">
      <c r="A43" s="32" t="s">
        <v>69</v>
      </c>
      <c r="B43" s="33" t="s">
        <v>598</v>
      </c>
      <c r="C43" s="32" t="s">
        <v>1</v>
      </c>
      <c r="D43" s="32" t="s">
        <v>558</v>
      </c>
      <c r="E43" s="32">
        <v>27.706520000000001</v>
      </c>
      <c r="F43" s="31">
        <f t="shared" si="0"/>
        <v>0.73992714100413604</v>
      </c>
      <c r="H43" s="16" t="s">
        <v>370</v>
      </c>
      <c r="I43" s="17">
        <v>3641</v>
      </c>
      <c r="J43" s="91">
        <f>Table6[[#This Row],[TRUMP VOTES]]/C298</f>
        <v>0.43968119792295618</v>
      </c>
      <c r="K43" s="18">
        <v>0.88300000000000001</v>
      </c>
      <c r="L43" s="19">
        <v>451</v>
      </c>
      <c r="M43" s="91">
        <f>Table6[[#This Row],[BIDEN VOTES]]/C298</f>
        <v>5.4462021494988529E-2</v>
      </c>
      <c r="N43" s="18">
        <v>0.109</v>
      </c>
      <c r="O43" s="92">
        <f>1-(Table6[[#This Row],[NbP]]+Table6[[#This Row],[NbP2]])</f>
        <v>0.5058567805820553</v>
      </c>
    </row>
    <row r="44" spans="1:15" ht="20">
      <c r="A44" s="30" t="s">
        <v>69</v>
      </c>
      <c r="B44" s="31" t="s">
        <v>599</v>
      </c>
      <c r="C44" s="30" t="s">
        <v>1</v>
      </c>
      <c r="D44" s="30" t="s">
        <v>558</v>
      </c>
      <c r="E44" s="30">
        <v>4.4479499999999996</v>
      </c>
      <c r="F44" s="31">
        <f t="shared" si="0"/>
        <v>0.1187864418494039</v>
      </c>
      <c r="H44" s="16" t="s">
        <v>371</v>
      </c>
      <c r="I44" s="17">
        <v>252318</v>
      </c>
      <c r="J44" s="91">
        <f>Table6[[#This Row],[TRUMP VOTES]]/C299</f>
        <v>0.25080364757593648</v>
      </c>
      <c r="K44" s="18">
        <v>0.51400000000000001</v>
      </c>
      <c r="L44" s="17">
        <v>230945</v>
      </c>
      <c r="M44" s="91">
        <f>Table6[[#This Row],[BIDEN VOTES]]/C299</f>
        <v>0.22955892322158805</v>
      </c>
      <c r="N44" s="18">
        <v>0.47099999999999997</v>
      </c>
      <c r="O44" s="92">
        <f>1-(Table6[[#This Row],[NbP]]+Table6[[#This Row],[NbP2]])</f>
        <v>0.51963742920247546</v>
      </c>
    </row>
    <row r="45" spans="1:15" ht="20">
      <c r="A45" s="32" t="s">
        <v>69</v>
      </c>
      <c r="B45" s="33" t="s">
        <v>600</v>
      </c>
      <c r="C45" s="32" t="s">
        <v>1</v>
      </c>
      <c r="D45" s="32" t="s">
        <v>558</v>
      </c>
      <c r="E45" s="32">
        <v>11.778560000000001</v>
      </c>
      <c r="F45" s="31">
        <f t="shared" si="0"/>
        <v>0.31455687058301351</v>
      </c>
      <c r="H45" s="16" t="s">
        <v>372</v>
      </c>
      <c r="I45" s="17">
        <v>1048</v>
      </c>
      <c r="J45" s="91">
        <f>Table6[[#This Row],[TRUMP VOTES]]/C300</f>
        <v>0.35658387206532832</v>
      </c>
      <c r="K45" s="18">
        <v>0.86199999999999999</v>
      </c>
      <c r="L45" s="19">
        <v>155</v>
      </c>
      <c r="M45" s="91">
        <f>Table6[[#This Row],[BIDEN VOTES]]/C300</f>
        <v>5.273902687989112E-2</v>
      </c>
      <c r="N45" s="18">
        <v>0.127</v>
      </c>
      <c r="O45" s="92">
        <f>1-(Table6[[#This Row],[NbP]]+Table6[[#This Row],[NbP2]])</f>
        <v>0.59067710105478055</v>
      </c>
    </row>
    <row r="46" spans="1:15" ht="20">
      <c r="A46" s="30" t="s">
        <v>69</v>
      </c>
      <c r="B46" s="31" t="s">
        <v>17</v>
      </c>
      <c r="C46" s="30" t="s">
        <v>1</v>
      </c>
      <c r="D46" s="30" t="s">
        <v>558</v>
      </c>
      <c r="E46" s="30">
        <v>5.6497200000000003</v>
      </c>
      <c r="F46" s="31">
        <f t="shared" si="0"/>
        <v>0.15088077344516335</v>
      </c>
      <c r="H46" s="16" t="s">
        <v>373</v>
      </c>
      <c r="I46" s="17">
        <v>7472</v>
      </c>
      <c r="J46" s="91">
        <f>Table6[[#This Row],[TRUMP VOTES]]/C301</f>
        <v>0.34986187198576579</v>
      </c>
      <c r="K46" s="18">
        <v>0.75</v>
      </c>
      <c r="L46" s="17">
        <v>2420</v>
      </c>
      <c r="M46" s="91">
        <f>Table6[[#This Row],[BIDEN VOTES]]/C301</f>
        <v>0.11331179472772393</v>
      </c>
      <c r="N46" s="18">
        <v>0.24299999999999999</v>
      </c>
      <c r="O46" s="92">
        <f>1-(Table6[[#This Row],[NbP]]+Table6[[#This Row],[NbP2]])</f>
        <v>0.5368263332865103</v>
      </c>
    </row>
    <row r="47" spans="1:15" ht="20">
      <c r="A47" s="32" t="s">
        <v>69</v>
      </c>
      <c r="B47" s="33" t="s">
        <v>601</v>
      </c>
      <c r="C47" s="32" t="s">
        <v>1</v>
      </c>
      <c r="D47" s="32" t="s">
        <v>558</v>
      </c>
      <c r="E47" s="32">
        <v>10.93784</v>
      </c>
      <c r="F47" s="31">
        <f t="shared" si="0"/>
        <v>0.29210469882037432</v>
      </c>
      <c r="H47" s="16" t="s">
        <v>374</v>
      </c>
      <c r="I47" s="17">
        <v>62740</v>
      </c>
      <c r="J47" s="91">
        <f>Table6[[#This Row],[TRUMP VOTES]]/C302</f>
        <v>0.42129719784315173</v>
      </c>
      <c r="K47" s="18">
        <v>0.70599999999999996</v>
      </c>
      <c r="L47" s="17">
        <v>24826</v>
      </c>
      <c r="M47" s="91">
        <f>Table6[[#This Row],[BIDEN VOTES]]/C302</f>
        <v>0.16670583732314448</v>
      </c>
      <c r="N47" s="18">
        <v>0.27900000000000003</v>
      </c>
      <c r="O47" s="92">
        <f>1-(Table6[[#This Row],[NbP]]+Table6[[#This Row],[NbP2]])</f>
        <v>0.41199696483370385</v>
      </c>
    </row>
    <row r="48" spans="1:15" ht="20">
      <c r="A48" s="30" t="s">
        <v>69</v>
      </c>
      <c r="B48" s="31" t="s">
        <v>602</v>
      </c>
      <c r="C48" s="30" t="s">
        <v>1</v>
      </c>
      <c r="D48" s="30" t="s">
        <v>558</v>
      </c>
      <c r="E48" s="30">
        <v>10.13514</v>
      </c>
      <c r="F48" s="31">
        <f t="shared" si="0"/>
        <v>0.27066788481110793</v>
      </c>
      <c r="H48" s="16" t="s">
        <v>375</v>
      </c>
      <c r="I48" s="17">
        <v>5177</v>
      </c>
      <c r="J48" s="91">
        <f>Table6[[#This Row],[TRUMP VOTES]]/C303</f>
        <v>0.38074575273957489</v>
      </c>
      <c r="K48" s="18">
        <v>0.85099999999999998</v>
      </c>
      <c r="L48" s="19">
        <v>853</v>
      </c>
      <c r="M48" s="91">
        <f>Table6[[#This Row],[BIDEN VOTES]]/C303</f>
        <v>6.2734426711774663E-2</v>
      </c>
      <c r="N48" s="18">
        <v>0.14000000000000001</v>
      </c>
      <c r="O48" s="92">
        <f>1-(Table6[[#This Row],[NbP]]+Table6[[#This Row],[NbP2]])</f>
        <v>0.55651982054865046</v>
      </c>
    </row>
    <row r="49" spans="1:15" ht="20">
      <c r="A49" s="32" t="s">
        <v>69</v>
      </c>
      <c r="B49" s="33" t="s">
        <v>603</v>
      </c>
      <c r="C49" s="32" t="s">
        <v>1</v>
      </c>
      <c r="D49" s="32" t="s">
        <v>558</v>
      </c>
      <c r="E49" s="32">
        <v>20.979019999999998</v>
      </c>
      <c r="F49" s="31">
        <f t="shared" si="0"/>
        <v>0.56026329866286295</v>
      </c>
      <c r="H49" s="16" t="s">
        <v>376</v>
      </c>
      <c r="I49" s="17">
        <v>1058</v>
      </c>
      <c r="J49" s="91">
        <f>Table6[[#This Row],[TRUMP VOTES]]/C304</f>
        <v>0.35056328694499667</v>
      </c>
      <c r="K49" s="18">
        <v>0.83399999999999996</v>
      </c>
      <c r="L49" s="19">
        <v>197</v>
      </c>
      <c r="M49" s="91">
        <f>Table6[[#This Row],[BIDEN VOTES]]/C304</f>
        <v>6.5275016567263089E-2</v>
      </c>
      <c r="N49" s="18">
        <v>0.155</v>
      </c>
      <c r="O49" s="92">
        <f>1-(Table6[[#This Row],[NbP]]+Table6[[#This Row],[NbP2]])</f>
        <v>0.5841616964877403</v>
      </c>
    </row>
    <row r="50" spans="1:15" ht="20">
      <c r="A50" s="30" t="s">
        <v>69</v>
      </c>
      <c r="B50" s="31" t="s">
        <v>604</v>
      </c>
      <c r="C50" s="30" t="s">
        <v>1</v>
      </c>
      <c r="D50" s="30" t="s">
        <v>558</v>
      </c>
      <c r="E50" s="30">
        <v>23.385300000000001</v>
      </c>
      <c r="F50" s="31">
        <f t="shared" si="0"/>
        <v>0.62452513597969073</v>
      </c>
      <c r="H50" s="16" t="s">
        <v>377</v>
      </c>
      <c r="I50" s="17">
        <v>15596</v>
      </c>
      <c r="J50" s="91">
        <f>Table6[[#This Row],[TRUMP VOTES]]/C305</f>
        <v>0.3857722370634214</v>
      </c>
      <c r="K50" s="18">
        <v>0.82099999999999995</v>
      </c>
      <c r="L50" s="17">
        <v>3210</v>
      </c>
      <c r="M50" s="91">
        <f>Table6[[#This Row],[BIDEN VOTES]]/C305</f>
        <v>7.9400415553576728E-2</v>
      </c>
      <c r="N50" s="18">
        <v>0.16900000000000001</v>
      </c>
      <c r="O50" s="92">
        <f>1-(Table6[[#This Row],[NbP]]+Table6[[#This Row],[NbP2]])</f>
        <v>0.53482734738300186</v>
      </c>
    </row>
    <row r="51" spans="1:15" ht="20">
      <c r="A51" s="32" t="s">
        <v>69</v>
      </c>
      <c r="B51" s="33" t="s">
        <v>605</v>
      </c>
      <c r="C51" s="32" t="s">
        <v>1</v>
      </c>
      <c r="D51" s="32" t="s">
        <v>558</v>
      </c>
      <c r="E51" s="32">
        <v>21.440909999999999</v>
      </c>
      <c r="F51" s="31">
        <f t="shared" si="0"/>
        <v>0.57259847995442903</v>
      </c>
      <c r="H51" s="16" t="s">
        <v>378</v>
      </c>
      <c r="I51" s="17">
        <v>15438</v>
      </c>
      <c r="J51" s="91">
        <f>Table6[[#This Row],[TRUMP VOTES]]/C306</f>
        <v>0.20427119720546205</v>
      </c>
      <c r="K51" s="18">
        <v>0.65700000000000003</v>
      </c>
      <c r="L51" s="17">
        <v>7565</v>
      </c>
      <c r="M51" s="91">
        <f>Table6[[#This Row],[BIDEN VOTES]]/C306</f>
        <v>0.10009791468190959</v>
      </c>
      <c r="N51" s="18">
        <v>0.32200000000000001</v>
      </c>
      <c r="O51" s="92">
        <f>1-(Table6[[#This Row],[NbP]]+Table6[[#This Row],[NbP2]])</f>
        <v>0.6956308881126283</v>
      </c>
    </row>
    <row r="52" spans="1:15" ht="20">
      <c r="A52" s="30" t="s">
        <v>69</v>
      </c>
      <c r="B52" s="31" t="s">
        <v>606</v>
      </c>
      <c r="C52" s="30" t="s">
        <v>1</v>
      </c>
      <c r="D52" s="30" t="s">
        <v>558</v>
      </c>
      <c r="E52" s="30">
        <v>9.6774199999999997</v>
      </c>
      <c r="F52" s="31">
        <f t="shared" si="0"/>
        <v>0.25844406706061407</v>
      </c>
      <c r="H52" s="16" t="s">
        <v>379</v>
      </c>
      <c r="I52" s="19">
        <v>540</v>
      </c>
      <c r="J52" s="91">
        <f>Table6[[#This Row],[TRUMP VOTES]]/C307</f>
        <v>0.33251231527093594</v>
      </c>
      <c r="K52" s="18">
        <v>0.81599999999999995</v>
      </c>
      <c r="L52" s="19">
        <v>113</v>
      </c>
      <c r="M52" s="91">
        <f>Table6[[#This Row],[BIDEN VOTES]]/C307</f>
        <v>6.9581280788177338E-2</v>
      </c>
      <c r="N52" s="18">
        <v>0.17100000000000001</v>
      </c>
      <c r="O52" s="92">
        <f>1-(Table6[[#This Row],[NbP]]+Table6[[#This Row],[NbP2]])</f>
        <v>0.59790640394088679</v>
      </c>
    </row>
    <row r="53" spans="1:15" ht="20">
      <c r="A53" s="32" t="s">
        <v>69</v>
      </c>
      <c r="B53" s="33" t="s">
        <v>607</v>
      </c>
      <c r="C53" s="32" t="s">
        <v>1</v>
      </c>
      <c r="D53" s="32" t="s">
        <v>558</v>
      </c>
      <c r="E53" s="32">
        <v>4.5070399999999999</v>
      </c>
      <c r="F53" s="31">
        <f t="shared" si="0"/>
        <v>0.1203644926028704</v>
      </c>
      <c r="H53" s="16" t="s">
        <v>380</v>
      </c>
      <c r="I53" s="17">
        <v>1247</v>
      </c>
      <c r="J53" s="91">
        <f>Table6[[#This Row],[TRUMP VOTES]]/C308</f>
        <v>0.26313568263346698</v>
      </c>
      <c r="K53" s="18">
        <v>0.83</v>
      </c>
      <c r="L53" s="19">
        <v>241</v>
      </c>
      <c r="M53" s="91">
        <f>Table6[[#This Row],[BIDEN VOTES]]/C308</f>
        <v>5.0854610677358095E-2</v>
      </c>
      <c r="N53" s="18">
        <v>0.16</v>
      </c>
      <c r="O53" s="92">
        <f>1-(Table6[[#This Row],[NbP]]+Table6[[#This Row],[NbP2]])</f>
        <v>0.68600970668917494</v>
      </c>
    </row>
    <row r="54" spans="1:15" ht="20">
      <c r="A54" s="30" t="s">
        <v>69</v>
      </c>
      <c r="B54" s="31" t="s">
        <v>87</v>
      </c>
      <c r="C54" s="30" t="s">
        <v>1</v>
      </c>
      <c r="D54" s="30" t="s">
        <v>558</v>
      </c>
      <c r="E54" s="30">
        <v>8.9374400000000005</v>
      </c>
      <c r="F54" s="31">
        <f t="shared" si="0"/>
        <v>0.23868224616790579</v>
      </c>
      <c r="H54" s="16" t="s">
        <v>186</v>
      </c>
      <c r="I54" s="17">
        <v>1220</v>
      </c>
      <c r="J54" s="91">
        <f>Table6[[#This Row],[TRUMP VOTES]]/C309</f>
        <v>0.3595638078396699</v>
      </c>
      <c r="K54" s="18">
        <v>0.77500000000000002</v>
      </c>
      <c r="L54" s="19">
        <v>344</v>
      </c>
      <c r="M54" s="91">
        <f>Table6[[#This Row],[BIDEN VOTES]]/C309</f>
        <v>0.10138520483348069</v>
      </c>
      <c r="N54" s="18">
        <v>0.219</v>
      </c>
      <c r="O54" s="92">
        <f>1-(Table6[[#This Row],[NbP]]+Table6[[#This Row],[NbP2]])</f>
        <v>0.53905098732684942</v>
      </c>
    </row>
    <row r="55" spans="1:15" ht="20">
      <c r="A55" s="32" t="s">
        <v>69</v>
      </c>
      <c r="B55" s="33" t="s">
        <v>608</v>
      </c>
      <c r="C55" s="32" t="s">
        <v>1</v>
      </c>
      <c r="D55" s="32" t="s">
        <v>558</v>
      </c>
      <c r="E55" s="32">
        <v>8.9766600000000007</v>
      </c>
      <c r="F55" s="31">
        <f t="shared" si="0"/>
        <v>0.23972965098345761</v>
      </c>
      <c r="H55" s="16" t="s">
        <v>381</v>
      </c>
      <c r="I55" s="17">
        <v>1396</v>
      </c>
      <c r="J55" s="91">
        <f>Table6[[#This Row],[TRUMP VOTES]]/C310</f>
        <v>0.24265600556231531</v>
      </c>
      <c r="K55" s="18">
        <v>0.71499999999999997</v>
      </c>
      <c r="L55" s="19">
        <v>527</v>
      </c>
      <c r="M55" s="91">
        <f>Table6[[#This Row],[BIDEN VOTES]]/C310</f>
        <v>9.1604380323309573E-2</v>
      </c>
      <c r="N55" s="18">
        <v>0.27</v>
      </c>
      <c r="O55" s="92">
        <f>1-(Table6[[#This Row],[NbP]]+Table6[[#This Row],[NbP2]])</f>
        <v>0.6657396141143751</v>
      </c>
    </row>
    <row r="56" spans="1:15" ht="20">
      <c r="A56" s="30" t="s">
        <v>69</v>
      </c>
      <c r="B56" s="31" t="s">
        <v>609</v>
      </c>
      <c r="C56" s="30" t="s">
        <v>1</v>
      </c>
      <c r="D56" s="30" t="s">
        <v>558</v>
      </c>
      <c r="E56" s="30">
        <v>37.444929999999999</v>
      </c>
      <c r="F56" s="31">
        <f t="shared" si="0"/>
        <v>1</v>
      </c>
      <c r="H56" s="16" t="s">
        <v>382</v>
      </c>
      <c r="I56" s="19">
        <v>415</v>
      </c>
      <c r="J56" s="91">
        <f>Table6[[#This Row],[TRUMP VOTES]]/C311</f>
        <v>0.19010535959688502</v>
      </c>
      <c r="K56" s="18">
        <v>0.48</v>
      </c>
      <c r="L56" s="19">
        <v>438</v>
      </c>
      <c r="M56" s="91">
        <f>Table6[[#This Row],[BIDEN VOTES]]/C311</f>
        <v>0.20064131928538709</v>
      </c>
      <c r="N56" s="18">
        <v>0.50700000000000001</v>
      </c>
      <c r="O56" s="92">
        <f>1-(Table6[[#This Row],[NbP]]+Table6[[#This Row],[NbP2]])</f>
        <v>0.6092533211177279</v>
      </c>
    </row>
    <row r="57" spans="1:15" ht="20">
      <c r="A57" s="32" t="s">
        <v>69</v>
      </c>
      <c r="B57" s="33" t="s">
        <v>610</v>
      </c>
      <c r="C57" s="32" t="s">
        <v>1</v>
      </c>
      <c r="D57" s="32" t="s">
        <v>558</v>
      </c>
      <c r="E57" s="32">
        <v>15.527950000000001</v>
      </c>
      <c r="F57" s="31">
        <f t="shared" si="0"/>
        <v>0.41468764930258917</v>
      </c>
      <c r="H57" s="16" t="s">
        <v>383</v>
      </c>
      <c r="I57" s="17">
        <v>1389</v>
      </c>
      <c r="J57" s="91">
        <f>Table6[[#This Row],[TRUMP VOTES]]/C312</f>
        <v>0.191006600660066</v>
      </c>
      <c r="K57" s="18">
        <v>0.86299999999999999</v>
      </c>
      <c r="L57" s="19">
        <v>197</v>
      </c>
      <c r="M57" s="91">
        <f>Table6[[#This Row],[BIDEN VOTES]]/C312</f>
        <v>2.709020902090209E-2</v>
      </c>
      <c r="N57" s="18">
        <v>0.122</v>
      </c>
      <c r="O57" s="92">
        <f>1-(Table6[[#This Row],[NbP]]+Table6[[#This Row],[NbP2]])</f>
        <v>0.78190319031903188</v>
      </c>
    </row>
    <row r="58" spans="1:15" ht="20">
      <c r="A58" s="30" t="s">
        <v>69</v>
      </c>
      <c r="B58" s="31" t="s">
        <v>611</v>
      </c>
      <c r="C58" s="30" t="s">
        <v>1</v>
      </c>
      <c r="D58" s="30" t="s">
        <v>558</v>
      </c>
      <c r="E58" s="30">
        <v>9.81433</v>
      </c>
      <c r="F58" s="31">
        <f t="shared" si="0"/>
        <v>0.26210036979639167</v>
      </c>
      <c r="H58" s="16" t="s">
        <v>384</v>
      </c>
      <c r="I58" s="17">
        <v>307076</v>
      </c>
      <c r="J58" s="91">
        <f>Table6[[#This Row],[TRUMP VOTES]]/C313</f>
        <v>0.11708686763002386</v>
      </c>
      <c r="K58" s="18">
        <v>0.33400000000000002</v>
      </c>
      <c r="L58" s="17">
        <v>598576</v>
      </c>
      <c r="M58" s="91">
        <f>Table6[[#This Row],[BIDEN VOTES]]/C313</f>
        <v>0.22823466789494837</v>
      </c>
      <c r="N58" s="18">
        <v>0.65100000000000002</v>
      </c>
      <c r="O58" s="92">
        <f>1-(Table6[[#This Row],[NbP]]+Table6[[#This Row],[NbP2]])</f>
        <v>0.65467846447502775</v>
      </c>
    </row>
    <row r="59" spans="1:15" ht="20">
      <c r="A59" s="32" t="s">
        <v>69</v>
      </c>
      <c r="B59" s="33" t="s">
        <v>612</v>
      </c>
      <c r="C59" s="32" t="s">
        <v>1</v>
      </c>
      <c r="D59" s="32" t="s">
        <v>558</v>
      </c>
      <c r="E59" s="32">
        <v>16.83502</v>
      </c>
      <c r="F59" s="31">
        <f t="shared" si="0"/>
        <v>0.44959411060455984</v>
      </c>
      <c r="H59" s="16" t="s">
        <v>385</v>
      </c>
      <c r="I59" s="17">
        <v>2951</v>
      </c>
      <c r="J59" s="91">
        <f>Table6[[#This Row],[TRUMP VOTES]]/C314</f>
        <v>0.22966767841855398</v>
      </c>
      <c r="K59" s="18">
        <v>0.77900000000000003</v>
      </c>
      <c r="L59" s="19">
        <v>808</v>
      </c>
      <c r="M59" s="91">
        <f>Table6[[#This Row],[BIDEN VOTES]]/C314</f>
        <v>6.2884271149505802E-2</v>
      </c>
      <c r="N59" s="18">
        <v>0.21299999999999999</v>
      </c>
      <c r="O59" s="92">
        <f>1-(Table6[[#This Row],[NbP]]+Table6[[#This Row],[NbP2]])</f>
        <v>0.70744805043194026</v>
      </c>
    </row>
    <row r="60" spans="1:15" ht="20">
      <c r="A60" s="30" t="s">
        <v>69</v>
      </c>
      <c r="B60" s="31" t="s">
        <v>613</v>
      </c>
      <c r="C60" s="30" t="s">
        <v>1</v>
      </c>
      <c r="D60" s="30" t="s">
        <v>558</v>
      </c>
      <c r="E60" s="30">
        <v>11.65544</v>
      </c>
      <c r="F60" s="31">
        <f t="shared" si="0"/>
        <v>0.31126884200344346</v>
      </c>
      <c r="H60" s="16" t="s">
        <v>386</v>
      </c>
      <c r="I60" s="17">
        <v>3294</v>
      </c>
      <c r="J60" s="91">
        <f>Table6[[#This Row],[TRUMP VOTES]]/C315</f>
        <v>0.17693505935435355</v>
      </c>
      <c r="K60" s="18">
        <v>0.71499999999999997</v>
      </c>
      <c r="L60" s="17">
        <v>1264</v>
      </c>
      <c r="M60" s="91">
        <f>Table6[[#This Row],[BIDEN VOTES]]/C315</f>
        <v>6.7894934737068272E-2</v>
      </c>
      <c r="N60" s="18">
        <v>0.27400000000000002</v>
      </c>
      <c r="O60" s="92">
        <f>1-(Table6[[#This Row],[NbP]]+Table6[[#This Row],[NbP2]])</f>
        <v>0.75517000590857819</v>
      </c>
    </row>
    <row r="61" spans="1:15" ht="20">
      <c r="A61" s="32" t="s">
        <v>69</v>
      </c>
      <c r="B61" s="33" t="s">
        <v>614</v>
      </c>
      <c r="C61" s="32" t="s">
        <v>1</v>
      </c>
      <c r="D61" s="32" t="s">
        <v>558</v>
      </c>
      <c r="E61" s="32">
        <v>14.24755</v>
      </c>
      <c r="F61" s="31">
        <f t="shared" si="0"/>
        <v>0.38049343395754781</v>
      </c>
      <c r="H61" s="16" t="s">
        <v>387</v>
      </c>
      <c r="I61" s="17">
        <v>2162</v>
      </c>
      <c r="J61" s="91">
        <f>Table6[[#This Row],[TRUMP VOTES]]/C316</f>
        <v>0.40970248247110103</v>
      </c>
      <c r="K61" s="18">
        <v>0.83399999999999996</v>
      </c>
      <c r="L61" s="19">
        <v>403</v>
      </c>
      <c r="M61" s="91">
        <f>Table6[[#This Row],[BIDEN VOTES]]/C316</f>
        <v>7.636914913776767E-2</v>
      </c>
      <c r="N61" s="18">
        <v>0.155</v>
      </c>
      <c r="O61" s="92">
        <f>1-(Table6[[#This Row],[NbP]]+Table6[[#This Row],[NbP2]])</f>
        <v>0.51392836839113132</v>
      </c>
    </row>
    <row r="62" spans="1:15" ht="20">
      <c r="A62" s="30" t="s">
        <v>69</v>
      </c>
      <c r="B62" s="31" t="s">
        <v>615</v>
      </c>
      <c r="C62" s="30" t="s">
        <v>1</v>
      </c>
      <c r="D62" s="30" t="s">
        <v>558</v>
      </c>
      <c r="E62" s="30">
        <v>7.4319800000000003</v>
      </c>
      <c r="F62" s="31">
        <f t="shared" si="0"/>
        <v>0.19847760431118447</v>
      </c>
      <c r="H62" s="16" t="s">
        <v>388</v>
      </c>
      <c r="I62" s="17">
        <v>222480</v>
      </c>
      <c r="J62" s="91">
        <f>Table6[[#This Row],[TRUMP VOTES]]/C317</f>
        <v>0.25819030045608049</v>
      </c>
      <c r="K62" s="18">
        <v>0.53300000000000003</v>
      </c>
      <c r="L62" s="17">
        <v>188695</v>
      </c>
      <c r="M62" s="91">
        <f>Table6[[#This Row],[BIDEN VOTES]]/C317</f>
        <v>0.21898246469147836</v>
      </c>
      <c r="N62" s="18">
        <v>0.45200000000000001</v>
      </c>
      <c r="O62" s="92">
        <f>1-(Table6[[#This Row],[NbP]]+Table6[[#This Row],[NbP2]])</f>
        <v>0.5228272348524412</v>
      </c>
    </row>
    <row r="63" spans="1:15" ht="20">
      <c r="A63" s="32" t="s">
        <v>69</v>
      </c>
      <c r="B63" s="33" t="s">
        <v>616</v>
      </c>
      <c r="C63" s="32" t="s">
        <v>1</v>
      </c>
      <c r="D63" s="32" t="s">
        <v>558</v>
      </c>
      <c r="E63" s="32">
        <v>6.5622400000000001</v>
      </c>
      <c r="F63" s="31">
        <f t="shared" si="0"/>
        <v>0.17525042776151539</v>
      </c>
      <c r="H63" s="16" t="s">
        <v>389</v>
      </c>
      <c r="I63" s="17">
        <v>6567</v>
      </c>
      <c r="J63" s="91">
        <f>Table6[[#This Row],[TRUMP VOTES]]/C318</f>
        <v>0.32482564178661522</v>
      </c>
      <c r="K63" s="18">
        <v>0.80900000000000005</v>
      </c>
      <c r="L63" s="17">
        <v>1494</v>
      </c>
      <c r="M63" s="91">
        <f>Table6[[#This Row],[BIDEN VOTES]]/C318</f>
        <v>7.3898204481377058E-2</v>
      </c>
      <c r="N63" s="18">
        <v>0.184</v>
      </c>
      <c r="O63" s="92">
        <f>1-(Table6[[#This Row],[NbP]]+Table6[[#This Row],[NbP2]])</f>
        <v>0.60127615373200771</v>
      </c>
    </row>
    <row r="64" spans="1:15" ht="20">
      <c r="A64" s="30" t="s">
        <v>69</v>
      </c>
      <c r="B64" s="31" t="s">
        <v>617</v>
      </c>
      <c r="C64" s="30" t="s">
        <v>1</v>
      </c>
      <c r="D64" s="30" t="s">
        <v>558</v>
      </c>
      <c r="E64" s="30">
        <v>12.46106</v>
      </c>
      <c r="F64" s="31">
        <f t="shared" si="0"/>
        <v>0.33278363719734555</v>
      </c>
      <c r="H64" s="16" t="s">
        <v>390</v>
      </c>
      <c r="I64" s="19">
        <v>853</v>
      </c>
      <c r="J64" s="91">
        <f>Table6[[#This Row],[TRUMP VOTES]]/C319</f>
        <v>0.39092575618698444</v>
      </c>
      <c r="K64" s="18">
        <v>0.86299999999999999</v>
      </c>
      <c r="L64" s="19">
        <v>130</v>
      </c>
      <c r="M64" s="91">
        <f>Table6[[#This Row],[BIDEN VOTES]]/C319</f>
        <v>5.9578368469294228E-2</v>
      </c>
      <c r="N64" s="18">
        <v>0.13200000000000001</v>
      </c>
      <c r="O64" s="92">
        <f>1-(Table6[[#This Row],[NbP]]+Table6[[#This Row],[NbP2]])</f>
        <v>0.54949587534372135</v>
      </c>
    </row>
    <row r="65" spans="1:15" ht="20">
      <c r="A65" s="32" t="s">
        <v>69</v>
      </c>
      <c r="B65" s="33" t="s">
        <v>618</v>
      </c>
      <c r="C65" s="32" t="s">
        <v>1</v>
      </c>
      <c r="D65" s="32" t="s">
        <v>558</v>
      </c>
      <c r="E65" s="32">
        <v>11.781610000000001</v>
      </c>
      <c r="F65" s="31">
        <f t="shared" si="0"/>
        <v>0.31463832353271859</v>
      </c>
      <c r="H65" s="16" t="s">
        <v>391</v>
      </c>
      <c r="I65" s="17">
        <v>1384</v>
      </c>
      <c r="J65" s="91">
        <f>Table6[[#This Row],[TRUMP VOTES]]/C320</f>
        <v>0.13526192337763879</v>
      </c>
      <c r="K65" s="18">
        <v>0.378</v>
      </c>
      <c r="L65" s="17">
        <v>2264</v>
      </c>
      <c r="M65" s="91">
        <f>Table6[[#This Row],[BIDEN VOTES]]/C320</f>
        <v>0.22126661454261143</v>
      </c>
      <c r="N65" s="18">
        <v>0.61799999999999999</v>
      </c>
      <c r="O65" s="92">
        <f>1-(Table6[[#This Row],[NbP]]+Table6[[#This Row],[NbP2]])</f>
        <v>0.64347146207974981</v>
      </c>
    </row>
    <row r="66" spans="1:15" ht="20">
      <c r="A66" s="30" t="s">
        <v>69</v>
      </c>
      <c r="B66" s="31" t="s">
        <v>619</v>
      </c>
      <c r="C66" s="30" t="s">
        <v>1</v>
      </c>
      <c r="D66" s="30" t="s">
        <v>558</v>
      </c>
      <c r="E66" s="30">
        <v>20.771509999999999</v>
      </c>
      <c r="F66" s="31">
        <f t="shared" ref="F66:F129" si="1">E66/(MAX(E:E)-MIN(E:E))</f>
        <v>0.55472156043555165</v>
      </c>
      <c r="H66" s="16" t="s">
        <v>392</v>
      </c>
      <c r="I66" s="17">
        <v>1438</v>
      </c>
      <c r="J66" s="91">
        <f>Table6[[#This Row],[TRUMP VOTES]]/C321</f>
        <v>0.43352426891769669</v>
      </c>
      <c r="K66" s="18">
        <v>0.873</v>
      </c>
      <c r="L66" s="19">
        <v>198</v>
      </c>
      <c r="M66" s="91">
        <f>Table6[[#This Row],[BIDEN VOTES]]/C321</f>
        <v>5.9692493216762135E-2</v>
      </c>
      <c r="N66" s="18">
        <v>0.12</v>
      </c>
      <c r="O66" s="92">
        <f>1-(Table6[[#This Row],[NbP]]+Table6[[#This Row],[NbP2]])</f>
        <v>0.50678323786554125</v>
      </c>
    </row>
    <row r="67" spans="1:15" ht="20">
      <c r="A67" s="32" t="s">
        <v>69</v>
      </c>
      <c r="B67" s="33" t="s">
        <v>620</v>
      </c>
      <c r="C67" s="32" t="s">
        <v>1</v>
      </c>
      <c r="D67" s="32" t="s">
        <v>558</v>
      </c>
      <c r="E67" s="32">
        <v>12.67468</v>
      </c>
      <c r="F67" s="31">
        <f t="shared" si="1"/>
        <v>0.33848854838291859</v>
      </c>
      <c r="H67" s="16" t="s">
        <v>393</v>
      </c>
      <c r="I67" s="17">
        <v>2443</v>
      </c>
      <c r="J67" s="91">
        <f>Table6[[#This Row],[TRUMP VOTES]]/C322</f>
        <v>0.21824191531177417</v>
      </c>
      <c r="K67" s="18">
        <v>0.48299999999999998</v>
      </c>
      <c r="L67" s="17">
        <v>2575</v>
      </c>
      <c r="M67" s="91">
        <f>Table6[[#This Row],[BIDEN VOTES]]/C322</f>
        <v>0.23003394675719135</v>
      </c>
      <c r="N67" s="18">
        <v>0.51</v>
      </c>
      <c r="O67" s="92">
        <f>1-(Table6[[#This Row],[NbP]]+Table6[[#This Row],[NbP2]])</f>
        <v>0.55172413793103448</v>
      </c>
    </row>
    <row r="68" spans="1:15" ht="20">
      <c r="A68" s="30" t="s">
        <v>69</v>
      </c>
      <c r="B68" s="31" t="s">
        <v>621</v>
      </c>
      <c r="C68" s="30" t="s">
        <v>1</v>
      </c>
      <c r="D68" s="30" t="s">
        <v>558</v>
      </c>
      <c r="E68" s="30">
        <v>13.73222</v>
      </c>
      <c r="F68" s="31">
        <f t="shared" si="1"/>
        <v>0.36673109016360828</v>
      </c>
      <c r="H68" s="16" t="s">
        <v>394</v>
      </c>
      <c r="I68" s="17">
        <v>7237</v>
      </c>
      <c r="J68" s="91">
        <f>Table6[[#This Row],[TRUMP VOTES]]/C323</f>
        <v>0.395702334736727</v>
      </c>
      <c r="K68" s="18">
        <v>0.873</v>
      </c>
      <c r="L68" s="19">
        <v>983</v>
      </c>
      <c r="M68" s="91">
        <f>Table6[[#This Row],[BIDEN VOTES]]/C323</f>
        <v>5.3748154628465196E-2</v>
      </c>
      <c r="N68" s="18">
        <v>0.11899999999999999</v>
      </c>
      <c r="O68" s="92">
        <f>1-(Table6[[#This Row],[NbP]]+Table6[[#This Row],[NbP2]])</f>
        <v>0.55054951063480773</v>
      </c>
    </row>
    <row r="69" spans="1:15" ht="20">
      <c r="A69" s="32" t="s">
        <v>69</v>
      </c>
      <c r="B69" s="33" t="s">
        <v>622</v>
      </c>
      <c r="C69" s="32" t="s">
        <v>1</v>
      </c>
      <c r="D69" s="32" t="s">
        <v>558</v>
      </c>
      <c r="E69" s="32">
        <v>6.8267499999999997</v>
      </c>
      <c r="F69" s="31">
        <f t="shared" si="1"/>
        <v>0.18231440144233144</v>
      </c>
      <c r="H69" s="16" t="s">
        <v>395</v>
      </c>
      <c r="I69" s="17">
        <v>32697</v>
      </c>
      <c r="J69" s="91">
        <f>Table6[[#This Row],[TRUMP VOTES]]/C324</f>
        <v>0.20174989356253895</v>
      </c>
      <c r="K69" s="18">
        <v>0.73299999999999998</v>
      </c>
      <c r="L69" s="17">
        <v>11367</v>
      </c>
      <c r="M69" s="91">
        <f>Table6[[#This Row],[BIDEN VOTES]]/C324</f>
        <v>7.0137659116291412E-2</v>
      </c>
      <c r="N69" s="18">
        <v>0.255</v>
      </c>
      <c r="O69" s="92">
        <f>1-(Table6[[#This Row],[NbP]]+Table6[[#This Row],[NbP2]])</f>
        <v>0.72811244732116964</v>
      </c>
    </row>
    <row r="70" spans="1:15" ht="20">
      <c r="A70" s="30" t="s">
        <v>69</v>
      </c>
      <c r="B70" s="31" t="s">
        <v>623</v>
      </c>
      <c r="C70" s="30" t="s">
        <v>1</v>
      </c>
      <c r="D70" s="30" t="s">
        <v>558</v>
      </c>
      <c r="E70" s="30">
        <v>2.47525</v>
      </c>
      <c r="F70" s="31">
        <f t="shared" si="1"/>
        <v>6.6103742215568306E-2</v>
      </c>
      <c r="H70" s="16" t="s">
        <v>396</v>
      </c>
      <c r="I70" s="19">
        <v>893</v>
      </c>
      <c r="J70" s="91">
        <f>Table6[[#This Row],[TRUMP VOTES]]/C325</f>
        <v>0.45936213991769548</v>
      </c>
      <c r="K70" s="18">
        <v>0.83799999999999997</v>
      </c>
      <c r="L70" s="19">
        <v>168</v>
      </c>
      <c r="M70" s="91">
        <f>Table6[[#This Row],[BIDEN VOTES]]/C325</f>
        <v>8.6419753086419748E-2</v>
      </c>
      <c r="N70" s="18">
        <v>0.158</v>
      </c>
      <c r="O70" s="92">
        <f>1-(Table6[[#This Row],[NbP]]+Table6[[#This Row],[NbP2]])</f>
        <v>0.45421810699588483</v>
      </c>
    </row>
    <row r="71" spans="1:15" ht="20">
      <c r="A71" s="32" t="s">
        <v>69</v>
      </c>
      <c r="B71" s="33" t="s">
        <v>624</v>
      </c>
      <c r="C71" s="32" t="s">
        <v>1</v>
      </c>
      <c r="D71" s="32" t="s">
        <v>558</v>
      </c>
      <c r="E71" s="32">
        <v>7.4879699999999998</v>
      </c>
      <c r="F71" s="31">
        <f t="shared" si="1"/>
        <v>0.19997286682068841</v>
      </c>
      <c r="H71" s="16" t="s">
        <v>398</v>
      </c>
      <c r="I71" s="17">
        <v>84331</v>
      </c>
      <c r="J71" s="91">
        <f>Table6[[#This Row],[TRUMP VOTES]]/C326</f>
        <v>0.10076411583016197</v>
      </c>
      <c r="K71" s="18">
        <v>0.316</v>
      </c>
      <c r="L71" s="17">
        <v>178126</v>
      </c>
      <c r="M71" s="91">
        <f>Table6[[#This Row],[BIDEN VOTES]]/C326</f>
        <v>0.21283642902803748</v>
      </c>
      <c r="N71" s="18">
        <v>0.66800000000000004</v>
      </c>
      <c r="O71" s="92">
        <f>1-(Table6[[#This Row],[NbP]]+Table6[[#This Row],[NbP2]])</f>
        <v>0.68639945514180056</v>
      </c>
    </row>
    <row r="72" spans="1:15" ht="20">
      <c r="A72" s="30" t="s">
        <v>69</v>
      </c>
      <c r="B72" s="31" t="s">
        <v>625</v>
      </c>
      <c r="C72" s="30" t="s">
        <v>1</v>
      </c>
      <c r="D72" s="30" t="s">
        <v>558</v>
      </c>
      <c r="E72" s="30">
        <v>7.3369499999999999</v>
      </c>
      <c r="F72" s="31">
        <f t="shared" si="1"/>
        <v>0.19593974404545556</v>
      </c>
      <c r="H72" s="16" t="s">
        <v>397</v>
      </c>
      <c r="I72" s="17">
        <v>56717</v>
      </c>
      <c r="J72" s="91">
        <f>Table6[[#This Row],[TRUMP VOTES]]/C327</f>
        <v>0.31600031200552697</v>
      </c>
      <c r="K72" s="18">
        <v>0.66400000000000003</v>
      </c>
      <c r="L72" s="17">
        <v>27565</v>
      </c>
      <c r="M72" s="91">
        <f>Table6[[#This Row],[BIDEN VOTES]]/C327</f>
        <v>0.15357914911635578</v>
      </c>
      <c r="N72" s="18">
        <v>0.32300000000000001</v>
      </c>
      <c r="O72" s="92">
        <f>1-(Table6[[#This Row],[NbP]]+Table6[[#This Row],[NbP2]])</f>
        <v>0.53042053887811724</v>
      </c>
    </row>
    <row r="73" spans="1:15" ht="20">
      <c r="A73" s="32" t="s">
        <v>69</v>
      </c>
      <c r="B73" s="33" t="s">
        <v>626</v>
      </c>
      <c r="C73" s="32" t="s">
        <v>1</v>
      </c>
      <c r="D73" s="32" t="s">
        <v>558</v>
      </c>
      <c r="E73" s="32">
        <v>20.05378</v>
      </c>
      <c r="F73" s="31">
        <f t="shared" si="1"/>
        <v>0.53555394548741309</v>
      </c>
      <c r="H73" s="16" t="s">
        <v>399</v>
      </c>
      <c r="I73" s="17">
        <v>13684</v>
      </c>
      <c r="J73" s="91">
        <f>Table6[[#This Row],[TRUMP VOTES]]/C328</f>
        <v>0.32406574148628808</v>
      </c>
      <c r="K73" s="18">
        <v>0.81200000000000006</v>
      </c>
      <c r="L73" s="17">
        <v>2916</v>
      </c>
      <c r="M73" s="91">
        <f>Table6[[#This Row],[BIDEN VOTES]]/C328</f>
        <v>6.9056979112395209E-2</v>
      </c>
      <c r="N73" s="18">
        <v>0.17299999999999999</v>
      </c>
      <c r="O73" s="92">
        <f>1-(Table6[[#This Row],[NbP]]+Table6[[#This Row],[NbP2]])</f>
        <v>0.60687727940131664</v>
      </c>
    </row>
    <row r="74" spans="1:15" ht="20">
      <c r="A74" s="30" t="s">
        <v>69</v>
      </c>
      <c r="B74" s="31" t="s">
        <v>627</v>
      </c>
      <c r="C74" s="30" t="s">
        <v>1</v>
      </c>
      <c r="D74" s="30" t="s">
        <v>558</v>
      </c>
      <c r="E74" s="30">
        <v>29.42943</v>
      </c>
      <c r="F74" s="31">
        <f t="shared" si="1"/>
        <v>0.78593897758655173</v>
      </c>
      <c r="H74" s="16" t="s">
        <v>400</v>
      </c>
      <c r="I74" s="17">
        <v>4177</v>
      </c>
      <c r="J74" s="91">
        <f>Table6[[#This Row],[TRUMP VOTES]]/C329</f>
        <v>0.24171054915803483</v>
      </c>
      <c r="K74" s="18">
        <v>0.68100000000000005</v>
      </c>
      <c r="L74" s="17">
        <v>1899</v>
      </c>
      <c r="M74" s="91">
        <f>Table6[[#This Row],[BIDEN VOTES]]/C329</f>
        <v>0.1098894739887738</v>
      </c>
      <c r="N74" s="18">
        <v>0.31</v>
      </c>
      <c r="O74" s="92">
        <f>1-(Table6[[#This Row],[NbP]]+Table6[[#This Row],[NbP2]])</f>
        <v>0.6483999768531914</v>
      </c>
    </row>
    <row r="75" spans="1:15" ht="20">
      <c r="A75" s="32" t="s">
        <v>69</v>
      </c>
      <c r="B75" s="33" t="s">
        <v>628</v>
      </c>
      <c r="C75" s="32" t="s">
        <v>1</v>
      </c>
      <c r="D75" s="32" t="s">
        <v>558</v>
      </c>
      <c r="E75" s="32">
        <v>16.791039999999999</v>
      </c>
      <c r="F75" s="31">
        <f t="shared" si="1"/>
        <v>0.44841958577569779</v>
      </c>
      <c r="H75" s="16" t="s">
        <v>401</v>
      </c>
      <c r="I75" s="17">
        <v>12171</v>
      </c>
      <c r="J75" s="91">
        <f>Table6[[#This Row],[TRUMP VOTES]]/C330</f>
        <v>0.34728642355761002</v>
      </c>
      <c r="K75" s="18">
        <v>0.81100000000000005</v>
      </c>
      <c r="L75" s="17">
        <v>2655</v>
      </c>
      <c r="M75" s="91">
        <f>Table6[[#This Row],[BIDEN VOTES]]/C330</f>
        <v>7.575757575757576E-2</v>
      </c>
      <c r="N75" s="18">
        <v>0.17699999999999999</v>
      </c>
      <c r="O75" s="92">
        <f>1-(Table6[[#This Row],[NbP]]+Table6[[#This Row],[NbP2]])</f>
        <v>0.57695600068481423</v>
      </c>
    </row>
    <row r="76" spans="1:15" ht="20">
      <c r="A76" s="30" t="s">
        <v>69</v>
      </c>
      <c r="B76" s="31" t="s">
        <v>94</v>
      </c>
      <c r="C76" s="30" t="s">
        <v>1</v>
      </c>
      <c r="D76" s="30" t="s">
        <v>558</v>
      </c>
      <c r="E76" s="30">
        <v>8.0853300000000008</v>
      </c>
      <c r="F76" s="31">
        <f t="shared" si="1"/>
        <v>0.21592589437341719</v>
      </c>
      <c r="H76" s="16" t="s">
        <v>193</v>
      </c>
      <c r="I76" s="17">
        <v>10171</v>
      </c>
      <c r="J76" s="91">
        <f>Table6[[#This Row],[TRUMP VOTES]]/C331</f>
        <v>0.40285974571236188</v>
      </c>
      <c r="K76" s="18">
        <v>0.78600000000000003</v>
      </c>
      <c r="L76" s="17">
        <v>2661</v>
      </c>
      <c r="M76" s="91">
        <f>Table6[[#This Row],[BIDEN VOTES]]/C331</f>
        <v>0.10539866122707649</v>
      </c>
      <c r="N76" s="18">
        <v>0.20599999999999999</v>
      </c>
      <c r="O76" s="92">
        <f>1-(Table6[[#This Row],[NbP]]+Table6[[#This Row],[NbP2]])</f>
        <v>0.49174159306056164</v>
      </c>
    </row>
    <row r="77" spans="1:15" ht="20">
      <c r="A77" s="32" t="s">
        <v>69</v>
      </c>
      <c r="B77" s="33" t="s">
        <v>629</v>
      </c>
      <c r="C77" s="32" t="s">
        <v>1</v>
      </c>
      <c r="D77" s="32" t="s">
        <v>558</v>
      </c>
      <c r="E77" s="32">
        <v>27.677499999999998</v>
      </c>
      <c r="F77" s="31">
        <f t="shared" si="1"/>
        <v>0.73915213621710596</v>
      </c>
      <c r="H77" s="16" t="s">
        <v>402</v>
      </c>
      <c r="I77" s="17">
        <v>1448</v>
      </c>
      <c r="J77" s="91">
        <f>Table6[[#This Row],[TRUMP VOTES]]/C332</f>
        <v>0.37836425398484452</v>
      </c>
      <c r="K77" s="18">
        <v>0.79300000000000004</v>
      </c>
      <c r="L77" s="19">
        <v>352</v>
      </c>
      <c r="M77" s="91">
        <f>Table6[[#This Row],[BIDEN VOTES]]/C332</f>
        <v>9.1978050692448396E-2</v>
      </c>
      <c r="N77" s="18">
        <v>0.193</v>
      </c>
      <c r="O77" s="92">
        <f>1-(Table6[[#This Row],[NbP]]+Table6[[#This Row],[NbP2]])</f>
        <v>0.52965769532270701</v>
      </c>
    </row>
    <row r="78" spans="1:15" ht="20">
      <c r="A78" s="30" t="s">
        <v>69</v>
      </c>
      <c r="B78" s="31" t="s">
        <v>630</v>
      </c>
      <c r="C78" s="30" t="s">
        <v>1</v>
      </c>
      <c r="D78" s="30" t="s">
        <v>558</v>
      </c>
      <c r="E78" s="30">
        <v>7.5914400000000004</v>
      </c>
      <c r="F78" s="31">
        <f t="shared" si="1"/>
        <v>0.20273612475707661</v>
      </c>
      <c r="H78" s="16" t="s">
        <v>403</v>
      </c>
      <c r="I78" s="17">
        <v>1584</v>
      </c>
      <c r="J78" s="91">
        <f>Table6[[#This Row],[TRUMP VOTES]]/C333</f>
        <v>0.27395364925631271</v>
      </c>
      <c r="K78" s="18">
        <v>0.77700000000000002</v>
      </c>
      <c r="L78" s="19">
        <v>438</v>
      </c>
      <c r="M78" s="91">
        <f>Table6[[#This Row],[BIDEN VOTES]]/C333</f>
        <v>7.5752334832237977E-2</v>
      </c>
      <c r="N78" s="18">
        <v>0.215</v>
      </c>
      <c r="O78" s="92">
        <f>1-(Table6[[#This Row],[NbP]]+Table6[[#This Row],[NbP2]])</f>
        <v>0.65029401591144931</v>
      </c>
    </row>
    <row r="79" spans="1:15" ht="20">
      <c r="A79" s="32" t="s">
        <v>69</v>
      </c>
      <c r="B79" s="33" t="s">
        <v>631</v>
      </c>
      <c r="C79" s="32" t="s">
        <v>1</v>
      </c>
      <c r="D79" s="32" t="s">
        <v>558</v>
      </c>
      <c r="E79" s="32">
        <v>12.29508</v>
      </c>
      <c r="F79" s="31">
        <f t="shared" si="1"/>
        <v>0.32835099438028059</v>
      </c>
      <c r="H79" s="16" t="s">
        <v>404</v>
      </c>
      <c r="I79" s="19">
        <v>445</v>
      </c>
      <c r="J79" s="91">
        <f>Table6[[#This Row],[TRUMP VOTES]]/C334</f>
        <v>0.36868268434134216</v>
      </c>
      <c r="K79" s="18">
        <v>0.80800000000000005</v>
      </c>
      <c r="L79" s="19">
        <v>99</v>
      </c>
      <c r="M79" s="91">
        <f>Table6[[#This Row],[BIDEN VOTES]]/C334</f>
        <v>8.2021541010770499E-2</v>
      </c>
      <c r="N79" s="18">
        <v>0.18</v>
      </c>
      <c r="O79" s="92">
        <f>1-(Table6[[#This Row],[NbP]]+Table6[[#This Row],[NbP2]])</f>
        <v>0.54929577464788737</v>
      </c>
    </row>
    <row r="80" spans="1:15" ht="20">
      <c r="A80" s="30" t="s">
        <v>69</v>
      </c>
      <c r="B80" s="31" t="s">
        <v>632</v>
      </c>
      <c r="C80" s="30" t="s">
        <v>1</v>
      </c>
      <c r="D80" s="30" t="s">
        <v>558</v>
      </c>
      <c r="E80" s="30">
        <v>2.3624000000000001</v>
      </c>
      <c r="F80" s="31">
        <f t="shared" si="1"/>
        <v>6.3089983076480588E-2</v>
      </c>
      <c r="H80" s="16" t="s">
        <v>405</v>
      </c>
      <c r="I80" s="17">
        <v>157718</v>
      </c>
      <c r="J80" s="91">
        <f>Table6[[#This Row],[TRUMP VOTES]]/C335</f>
        <v>0.19941787247816389</v>
      </c>
      <c r="K80" s="18">
        <v>0.441</v>
      </c>
      <c r="L80" s="17">
        <v>195552</v>
      </c>
      <c r="M80" s="91">
        <f>Table6[[#This Row],[BIDEN VOTES]]/C335</f>
        <v>0.24725499815398311</v>
      </c>
      <c r="N80" s="18">
        <v>0.54700000000000004</v>
      </c>
      <c r="O80" s="92">
        <f>1-(Table6[[#This Row],[NbP]]+Table6[[#This Row],[NbP2]])</f>
        <v>0.553327129367853</v>
      </c>
    </row>
    <row r="81" spans="1:15" ht="20">
      <c r="A81" s="32" t="s">
        <v>69</v>
      </c>
      <c r="B81" s="33" t="s">
        <v>96</v>
      </c>
      <c r="C81" s="32" t="s">
        <v>1</v>
      </c>
      <c r="D81" s="32" t="s">
        <v>558</v>
      </c>
      <c r="E81" s="32">
        <v>12.718019999999999</v>
      </c>
      <c r="F81" s="31">
        <f t="shared" si="1"/>
        <v>0.33964598144528513</v>
      </c>
      <c r="H81" s="16" t="s">
        <v>195</v>
      </c>
      <c r="I81" s="17">
        <v>4161</v>
      </c>
      <c r="J81" s="91">
        <f>Table6[[#This Row],[TRUMP VOTES]]/C336</f>
        <v>0.38645862357202565</v>
      </c>
      <c r="K81" s="18">
        <v>0.83099999999999996</v>
      </c>
      <c r="L81" s="19">
        <v>804</v>
      </c>
      <c r="M81" s="91">
        <f>Table6[[#This Row],[BIDEN VOTES]]/C336</f>
        <v>7.4672610755084981E-2</v>
      </c>
      <c r="N81" s="18">
        <v>0.161</v>
      </c>
      <c r="O81" s="92">
        <f>1-(Table6[[#This Row],[NbP]]+Table6[[#This Row],[NbP2]])</f>
        <v>0.53886876567288944</v>
      </c>
    </row>
    <row r="82" spans="1:15" ht="20">
      <c r="A82" s="30" t="s">
        <v>69</v>
      </c>
      <c r="B82" s="31" t="s">
        <v>633</v>
      </c>
      <c r="C82" s="30" t="s">
        <v>1</v>
      </c>
      <c r="D82" s="30" t="s">
        <v>558</v>
      </c>
      <c r="E82" s="30">
        <v>9.7927599999999995</v>
      </c>
      <c r="F82" s="31">
        <f t="shared" si="1"/>
        <v>0.26152432385372332</v>
      </c>
      <c r="H82" s="16" t="s">
        <v>406</v>
      </c>
      <c r="I82" s="17">
        <v>6991</v>
      </c>
      <c r="J82" s="91">
        <f>Table6[[#This Row],[TRUMP VOTES]]/C337</f>
        <v>0.35408225283630468</v>
      </c>
      <c r="K82" s="18">
        <v>0.80300000000000005</v>
      </c>
      <c r="L82" s="17">
        <v>1635</v>
      </c>
      <c r="M82" s="91">
        <f>Table6[[#This Row],[BIDEN VOTES]]/C337</f>
        <v>8.2809967585089142E-2</v>
      </c>
      <c r="N82" s="18">
        <v>0.188</v>
      </c>
      <c r="O82" s="92">
        <f>1-(Table6[[#This Row],[NbP]]+Table6[[#This Row],[NbP2]])</f>
        <v>0.56310777957860614</v>
      </c>
    </row>
    <row r="83" spans="1:15" ht="20">
      <c r="A83" s="32" t="s">
        <v>69</v>
      </c>
      <c r="B83" s="33" t="s">
        <v>634</v>
      </c>
      <c r="C83" s="32" t="s">
        <v>1</v>
      </c>
      <c r="D83" s="32" t="s">
        <v>558</v>
      </c>
      <c r="E83" s="32">
        <v>17.592790000000001</v>
      </c>
      <c r="F83" s="31">
        <f t="shared" si="1"/>
        <v>0.46983102919407249</v>
      </c>
      <c r="H83" s="16" t="s">
        <v>407</v>
      </c>
      <c r="I83" s="17">
        <v>2823</v>
      </c>
      <c r="J83" s="91">
        <f>Table6[[#This Row],[TRUMP VOTES]]/C338</f>
        <v>0.14105831209713687</v>
      </c>
      <c r="K83" s="18">
        <v>0.53500000000000003</v>
      </c>
      <c r="L83" s="17">
        <v>2422</v>
      </c>
      <c r="M83" s="91">
        <f>Table6[[#This Row],[BIDEN VOTES]]/C338</f>
        <v>0.12102133613151451</v>
      </c>
      <c r="N83" s="18">
        <v>0.45900000000000002</v>
      </c>
      <c r="O83" s="92">
        <f>1-(Table6[[#This Row],[NbP]]+Table6[[#This Row],[NbP2]])</f>
        <v>0.73792035177134863</v>
      </c>
    </row>
    <row r="84" spans="1:15" ht="20">
      <c r="A84" s="30" t="s">
        <v>69</v>
      </c>
      <c r="B84" s="31" t="s">
        <v>635</v>
      </c>
      <c r="C84" s="30" t="s">
        <v>1</v>
      </c>
      <c r="D84" s="30" t="s">
        <v>558</v>
      </c>
      <c r="E84" s="30">
        <v>4.36205</v>
      </c>
      <c r="F84" s="31">
        <f t="shared" si="1"/>
        <v>0.11649240631508725</v>
      </c>
      <c r="H84" s="16" t="s">
        <v>408</v>
      </c>
      <c r="I84" s="17">
        <v>5355</v>
      </c>
      <c r="J84" s="91">
        <f>Table6[[#This Row],[TRUMP VOTES]]/C339</f>
        <v>0.25406841580870143</v>
      </c>
      <c r="K84" s="18">
        <v>0.89300000000000002</v>
      </c>
      <c r="L84" s="19">
        <v>576</v>
      </c>
      <c r="M84" s="91">
        <f>Table6[[#This Row],[BIDEN VOTES]]/C339</f>
        <v>2.7328367414717464E-2</v>
      </c>
      <c r="N84" s="18">
        <v>9.6000000000000002E-2</v>
      </c>
      <c r="O84" s="92">
        <f>1-(Table6[[#This Row],[NbP]]+Table6[[#This Row],[NbP2]])</f>
        <v>0.71860321677658112</v>
      </c>
    </row>
    <row r="85" spans="1:15" ht="20">
      <c r="A85" s="32" t="s">
        <v>69</v>
      </c>
      <c r="B85" s="33" t="s">
        <v>636</v>
      </c>
      <c r="C85" s="32" t="s">
        <v>1</v>
      </c>
      <c r="D85" s="32" t="s">
        <v>558</v>
      </c>
      <c r="E85" s="32">
        <v>7.4452999999999996</v>
      </c>
      <c r="F85" s="31">
        <f t="shared" si="1"/>
        <v>0.19883332670137185</v>
      </c>
      <c r="H85" s="16" t="s">
        <v>409</v>
      </c>
      <c r="I85" s="17">
        <v>93911</v>
      </c>
      <c r="J85" s="91">
        <f>Table6[[#This Row],[TRUMP VOTES]]/C340</f>
        <v>0.27817239336492888</v>
      </c>
      <c r="K85" s="18">
        <v>0.60599999999999998</v>
      </c>
      <c r="L85" s="17">
        <v>58842</v>
      </c>
      <c r="M85" s="91">
        <f>Table6[[#This Row],[BIDEN VOTES]]/C340</f>
        <v>0.17429502369668246</v>
      </c>
      <c r="N85" s="18">
        <v>0.379</v>
      </c>
      <c r="O85" s="92">
        <f>1-(Table6[[#This Row],[NbP]]+Table6[[#This Row],[NbP2]])</f>
        <v>0.54753258293838869</v>
      </c>
    </row>
    <row r="86" spans="1:15" ht="20">
      <c r="A86" s="30" t="s">
        <v>69</v>
      </c>
      <c r="B86" s="31" t="s">
        <v>637</v>
      </c>
      <c r="C86" s="30" t="s">
        <v>1</v>
      </c>
      <c r="D86" s="30" t="s">
        <v>558</v>
      </c>
      <c r="E86" s="30">
        <v>9.2857099999999999</v>
      </c>
      <c r="F86" s="31">
        <f t="shared" si="1"/>
        <v>0.24798310478881921</v>
      </c>
      <c r="H86" s="16" t="s">
        <v>410</v>
      </c>
      <c r="I86" s="17">
        <v>1413</v>
      </c>
      <c r="J86" s="91">
        <f>Table6[[#This Row],[TRUMP VOTES]]/C341</f>
        <v>0.23440610484406105</v>
      </c>
      <c r="K86" s="18">
        <v>0.85499999999999998</v>
      </c>
      <c r="L86" s="19">
        <v>231</v>
      </c>
      <c r="M86" s="91">
        <f>Table6[[#This Row],[BIDEN VOTES]]/C341</f>
        <v>3.8321167883211681E-2</v>
      </c>
      <c r="N86" s="18">
        <v>0.14000000000000001</v>
      </c>
      <c r="O86" s="92">
        <f>1-(Table6[[#This Row],[NbP]]+Table6[[#This Row],[NbP2]])</f>
        <v>0.72727272727272729</v>
      </c>
    </row>
    <row r="87" spans="1:15" ht="20">
      <c r="A87" s="32" t="s">
        <v>69</v>
      </c>
      <c r="B87" s="33" t="s">
        <v>638</v>
      </c>
      <c r="C87" s="32" t="s">
        <v>1</v>
      </c>
      <c r="D87" s="32" t="s">
        <v>558</v>
      </c>
      <c r="E87" s="32">
        <v>10.568300000000001</v>
      </c>
      <c r="F87" s="31">
        <f t="shared" si="1"/>
        <v>0.28223580602233733</v>
      </c>
      <c r="H87" s="16" t="s">
        <v>411</v>
      </c>
      <c r="I87" s="17">
        <v>12514</v>
      </c>
      <c r="J87" s="91">
        <f>Table6[[#This Row],[TRUMP VOTES]]/C342</f>
        <v>0.46925153742312886</v>
      </c>
      <c r="K87" s="18">
        <v>0.79</v>
      </c>
      <c r="L87" s="17">
        <v>3176</v>
      </c>
      <c r="M87" s="91">
        <f>Table6[[#This Row],[BIDEN VOTES]]/C342</f>
        <v>0.11909404529773511</v>
      </c>
      <c r="N87" s="18">
        <v>0.2</v>
      </c>
      <c r="O87" s="92">
        <f>1-(Table6[[#This Row],[NbP]]+Table6[[#This Row],[NbP2]])</f>
        <v>0.41165441727913599</v>
      </c>
    </row>
    <row r="88" spans="1:15" ht="20">
      <c r="A88" s="30" t="s">
        <v>69</v>
      </c>
      <c r="B88" s="31" t="s">
        <v>639</v>
      </c>
      <c r="C88" s="30" t="s">
        <v>1</v>
      </c>
      <c r="D88" s="30" t="s">
        <v>558</v>
      </c>
      <c r="E88" s="30">
        <v>6.6889599999999998</v>
      </c>
      <c r="F88" s="31">
        <f t="shared" si="1"/>
        <v>0.17863459752762256</v>
      </c>
      <c r="H88" s="16" t="s">
        <v>412</v>
      </c>
      <c r="I88" s="19">
        <v>611</v>
      </c>
      <c r="J88" s="91">
        <f>Table6[[#This Row],[TRUMP VOTES]]/C343</f>
        <v>0.42225293711126466</v>
      </c>
      <c r="K88" s="18">
        <v>0.93600000000000005</v>
      </c>
      <c r="L88" s="19">
        <v>39</v>
      </c>
      <c r="M88" s="91">
        <f>Table6[[#This Row],[BIDEN VOTES]]/C343</f>
        <v>2.6952315134761574E-2</v>
      </c>
      <c r="N88" s="18">
        <v>0.06</v>
      </c>
      <c r="O88" s="92">
        <f>1-(Table6[[#This Row],[NbP]]+Table6[[#This Row],[NbP2]])</f>
        <v>0.55079474775397375</v>
      </c>
    </row>
    <row r="89" spans="1:15" ht="20">
      <c r="A89" s="32" t="s">
        <v>69</v>
      </c>
      <c r="B89" s="33" t="s">
        <v>640</v>
      </c>
      <c r="C89" s="32" t="s">
        <v>1</v>
      </c>
      <c r="D89" s="32" t="s">
        <v>558</v>
      </c>
      <c r="E89" s="32">
        <v>12.4427</v>
      </c>
      <c r="F89" s="31">
        <f t="shared" si="1"/>
        <v>0.33229331714600618</v>
      </c>
      <c r="H89" s="16" t="s">
        <v>413</v>
      </c>
      <c r="I89" s="17">
        <v>3085</v>
      </c>
      <c r="J89" s="91">
        <f>Table6[[#This Row],[TRUMP VOTES]]/C344</f>
        <v>0.40709949854842964</v>
      </c>
      <c r="K89" s="18">
        <v>0.77400000000000002</v>
      </c>
      <c r="L89" s="19">
        <v>877</v>
      </c>
      <c r="M89" s="91">
        <f>Table6[[#This Row],[BIDEN VOTES]]/C344</f>
        <v>0.11572974399577725</v>
      </c>
      <c r="N89" s="18">
        <v>0.22</v>
      </c>
      <c r="O89" s="92">
        <f>1-(Table6[[#This Row],[NbP]]+Table6[[#This Row],[NbP2]])</f>
        <v>0.47717075745579307</v>
      </c>
    </row>
    <row r="90" spans="1:15" ht="20">
      <c r="A90" s="30" t="s">
        <v>69</v>
      </c>
      <c r="B90" s="31" t="s">
        <v>641</v>
      </c>
      <c r="C90" s="30" t="s">
        <v>1</v>
      </c>
      <c r="D90" s="30" t="s">
        <v>558</v>
      </c>
      <c r="E90" s="30">
        <v>8.1952599999999993</v>
      </c>
      <c r="F90" s="31">
        <f t="shared" si="1"/>
        <v>0.21886167232786921</v>
      </c>
      <c r="H90" s="16" t="s">
        <v>414</v>
      </c>
      <c r="I90" s="17">
        <v>5627</v>
      </c>
      <c r="J90" s="91">
        <f>Table6[[#This Row],[TRUMP VOTES]]/C345</f>
        <v>0.27016516228154408</v>
      </c>
      <c r="K90" s="18">
        <v>0.73599999999999999</v>
      </c>
      <c r="L90" s="17">
        <v>1948</v>
      </c>
      <c r="M90" s="91">
        <f>Table6[[#This Row],[BIDEN VOTES]]/C345</f>
        <v>9.3527943153447285E-2</v>
      </c>
      <c r="N90" s="18">
        <v>0.255</v>
      </c>
      <c r="O90" s="92">
        <f>1-(Table6[[#This Row],[NbP]]+Table6[[#This Row],[NbP2]])</f>
        <v>0.63630689456500866</v>
      </c>
    </row>
    <row r="91" spans="1:15" ht="20">
      <c r="A91" s="32" t="s">
        <v>69</v>
      </c>
      <c r="B91" s="33" t="s">
        <v>642</v>
      </c>
      <c r="C91" s="32" t="s">
        <v>1</v>
      </c>
      <c r="D91" s="32" t="s">
        <v>558</v>
      </c>
      <c r="E91" s="32">
        <v>11.739420000000001</v>
      </c>
      <c r="F91" s="31">
        <f t="shared" si="1"/>
        <v>0.31351160223827368</v>
      </c>
      <c r="H91" s="16" t="s">
        <v>415</v>
      </c>
      <c r="I91" s="17">
        <v>6840</v>
      </c>
      <c r="J91" s="91">
        <f>Table6[[#This Row],[TRUMP VOTES]]/C346</f>
        <v>0.31002130263336808</v>
      </c>
      <c r="K91" s="18">
        <v>0.879</v>
      </c>
      <c r="L91" s="19">
        <v>829</v>
      </c>
      <c r="M91" s="91">
        <f>Table6[[#This Row],[BIDEN VOTES]]/C346</f>
        <v>3.7574219281149436E-2</v>
      </c>
      <c r="N91" s="18">
        <v>0.107</v>
      </c>
      <c r="O91" s="92">
        <f>1-(Table6[[#This Row],[NbP]]+Table6[[#This Row],[NbP2]])</f>
        <v>0.65240447808548252</v>
      </c>
    </row>
    <row r="92" spans="1:15" ht="20">
      <c r="A92" s="30" t="s">
        <v>69</v>
      </c>
      <c r="B92" s="31" t="s">
        <v>643</v>
      </c>
      <c r="C92" s="30" t="s">
        <v>1</v>
      </c>
      <c r="D92" s="30" t="s">
        <v>558</v>
      </c>
      <c r="E92" s="30">
        <v>15.14607</v>
      </c>
      <c r="F92" s="31">
        <f t="shared" si="1"/>
        <v>0.40448920588181098</v>
      </c>
      <c r="H92" s="16" t="s">
        <v>416</v>
      </c>
      <c r="I92" s="17">
        <v>44163</v>
      </c>
      <c r="J92" s="91">
        <f>Table6[[#This Row],[TRUMP VOTES]]/C347</f>
        <v>0.33074209710395652</v>
      </c>
      <c r="K92" s="18">
        <v>0.74299999999999999</v>
      </c>
      <c r="L92" s="17">
        <v>14506</v>
      </c>
      <c r="M92" s="91">
        <f>Table6[[#This Row],[BIDEN VOTES]]/C347</f>
        <v>0.10863720446052109</v>
      </c>
      <c r="N92" s="18">
        <v>0.24399999999999999</v>
      </c>
      <c r="O92" s="92">
        <f>1-(Table6[[#This Row],[NbP]]+Table6[[#This Row],[NbP2]])</f>
        <v>0.56062069843552242</v>
      </c>
    </row>
    <row r="93" spans="1:15" ht="20">
      <c r="A93" s="32" t="s">
        <v>69</v>
      </c>
      <c r="B93" s="33" t="s">
        <v>644</v>
      </c>
      <c r="C93" s="32" t="s">
        <v>1</v>
      </c>
      <c r="D93" s="32" t="s">
        <v>558</v>
      </c>
      <c r="E93" s="32">
        <v>15.182410000000001</v>
      </c>
      <c r="F93" s="31">
        <f t="shared" si="1"/>
        <v>0.40545969774813306</v>
      </c>
      <c r="H93" s="16" t="s">
        <v>417</v>
      </c>
      <c r="I93" s="17">
        <v>32493</v>
      </c>
      <c r="J93" s="91">
        <f>Table6[[#This Row],[TRUMP VOTES]]/C348</f>
        <v>0.26281817961223947</v>
      </c>
      <c r="K93" s="18">
        <v>0.67800000000000005</v>
      </c>
      <c r="L93" s="17">
        <v>14796</v>
      </c>
      <c r="M93" s="91">
        <f>Table6[[#This Row],[BIDEN VOTES]]/C348</f>
        <v>0.11967678532430662</v>
      </c>
      <c r="N93" s="18">
        <v>0.309</v>
      </c>
      <c r="O93" s="92">
        <f>1-(Table6[[#This Row],[NbP]]+Table6[[#This Row],[NbP2]])</f>
        <v>0.61750503506345389</v>
      </c>
    </row>
    <row r="94" spans="1:15" ht="20">
      <c r="A94" s="30" t="s">
        <v>69</v>
      </c>
      <c r="B94" s="31" t="s">
        <v>645</v>
      </c>
      <c r="C94" s="30" t="s">
        <v>1</v>
      </c>
      <c r="D94" s="30" t="s">
        <v>558</v>
      </c>
      <c r="E94" s="30">
        <v>6.5913399999999998</v>
      </c>
      <c r="F94" s="31">
        <f t="shared" si="1"/>
        <v>0.17602756901935723</v>
      </c>
      <c r="H94" s="16" t="s">
        <v>418</v>
      </c>
      <c r="I94" s="17">
        <v>9432</v>
      </c>
      <c r="J94" s="91">
        <f>Table6[[#This Row],[TRUMP VOTES]]/C349</f>
        <v>0.33156396105037439</v>
      </c>
      <c r="K94" s="18">
        <v>0.76</v>
      </c>
      <c r="L94" s="17">
        <v>2833</v>
      </c>
      <c r="M94" s="91">
        <f>Table6[[#This Row],[BIDEN VOTES]]/C349</f>
        <v>9.9588708826941333E-2</v>
      </c>
      <c r="N94" s="18">
        <v>0.22800000000000001</v>
      </c>
      <c r="O94" s="92">
        <f>1-(Table6[[#This Row],[NbP]]+Table6[[#This Row],[NbP2]])</f>
        <v>0.56884733012268429</v>
      </c>
    </row>
    <row r="95" spans="1:15" ht="20">
      <c r="A95" s="32" t="s">
        <v>69</v>
      </c>
      <c r="B95" s="33" t="s">
        <v>646</v>
      </c>
      <c r="C95" s="32" t="s">
        <v>1</v>
      </c>
      <c r="D95" s="32" t="s">
        <v>558</v>
      </c>
      <c r="E95" s="32">
        <v>7.1884399999999999</v>
      </c>
      <c r="F95" s="31">
        <f t="shared" si="1"/>
        <v>0.19197365304194719</v>
      </c>
      <c r="H95" s="16" t="s">
        <v>419</v>
      </c>
      <c r="I95" s="17">
        <v>47553</v>
      </c>
      <c r="J95" s="91">
        <f>Table6[[#This Row],[TRUMP VOTES]]/C350</f>
        <v>0.29168251242102683</v>
      </c>
      <c r="K95" s="18">
        <v>0.61299999999999999</v>
      </c>
      <c r="L95" s="17">
        <v>28805</v>
      </c>
      <c r="M95" s="91">
        <f>Table6[[#This Row],[BIDEN VOTES]]/C350</f>
        <v>0.17668527264920567</v>
      </c>
      <c r="N95" s="18">
        <v>0.371</v>
      </c>
      <c r="O95" s="92">
        <f>1-(Table6[[#This Row],[NbP]]+Table6[[#This Row],[NbP2]])</f>
        <v>0.53163221492976753</v>
      </c>
    </row>
    <row r="96" spans="1:15" ht="20">
      <c r="A96" s="30" t="s">
        <v>69</v>
      </c>
      <c r="B96" s="31" t="s">
        <v>647</v>
      </c>
      <c r="C96" s="30" t="s">
        <v>1</v>
      </c>
      <c r="D96" s="30" t="s">
        <v>558</v>
      </c>
      <c r="E96" s="30">
        <v>12.60365</v>
      </c>
      <c r="F96" s="31">
        <f t="shared" si="1"/>
        <v>0.33659162936077058</v>
      </c>
      <c r="H96" s="16" t="s">
        <v>420</v>
      </c>
      <c r="I96" s="17">
        <v>7177</v>
      </c>
      <c r="J96" s="91">
        <f>Table6[[#This Row],[TRUMP VOTES]]/C351</f>
        <v>0.21447568956758212</v>
      </c>
      <c r="K96" s="18">
        <v>0.749</v>
      </c>
      <c r="L96" s="17">
        <v>2279</v>
      </c>
      <c r="M96" s="91">
        <f>Table6[[#This Row],[BIDEN VOTES]]/C351</f>
        <v>6.8105071272749007E-2</v>
      </c>
      <c r="N96" s="18">
        <v>0.23799999999999999</v>
      </c>
      <c r="O96" s="92">
        <f>1-(Table6[[#This Row],[NbP]]+Table6[[#This Row],[NbP2]])</f>
        <v>0.71741923915966888</v>
      </c>
    </row>
    <row r="97" spans="1:15" ht="20">
      <c r="A97" s="32" t="s">
        <v>69</v>
      </c>
      <c r="B97" s="33" t="s">
        <v>648</v>
      </c>
      <c r="C97" s="32" t="s">
        <v>1</v>
      </c>
      <c r="D97" s="32" t="s">
        <v>558</v>
      </c>
      <c r="E97" s="32">
        <v>9.0322600000000008</v>
      </c>
      <c r="F97" s="31">
        <f t="shared" si="1"/>
        <v>0.24121449819775337</v>
      </c>
      <c r="H97" s="16" t="s">
        <v>421</v>
      </c>
      <c r="I97" s="19">
        <v>995</v>
      </c>
      <c r="J97" s="91">
        <f>Table6[[#This Row],[TRUMP VOTES]]/C352</f>
        <v>0.32892561983471075</v>
      </c>
      <c r="K97" s="18">
        <v>0.85199999999999998</v>
      </c>
      <c r="L97" s="19">
        <v>168</v>
      </c>
      <c r="M97" s="91">
        <f>Table6[[#This Row],[BIDEN VOTES]]/C352</f>
        <v>5.5537190082644627E-2</v>
      </c>
      <c r="N97" s="18">
        <v>0.14399999999999999</v>
      </c>
      <c r="O97" s="92">
        <f>1-(Table6[[#This Row],[NbP]]+Table6[[#This Row],[NbP2]])</f>
        <v>0.61553719008264463</v>
      </c>
    </row>
    <row r="98" spans="1:15" ht="20">
      <c r="A98" s="30" t="s">
        <v>69</v>
      </c>
      <c r="B98" s="31" t="s">
        <v>103</v>
      </c>
      <c r="C98" s="30" t="s">
        <v>1</v>
      </c>
      <c r="D98" s="30" t="s">
        <v>558</v>
      </c>
      <c r="E98" s="30">
        <v>22.44116</v>
      </c>
      <c r="F98" s="31">
        <f t="shared" si="1"/>
        <v>0.59931104157492088</v>
      </c>
      <c r="H98" s="16" t="s">
        <v>202</v>
      </c>
      <c r="I98" s="17">
        <v>3616</v>
      </c>
      <c r="J98" s="91">
        <f>Table6[[#This Row],[TRUMP VOTES]]/C353</f>
        <v>0.42874081100308276</v>
      </c>
      <c r="K98" s="18">
        <v>0.83099999999999996</v>
      </c>
      <c r="L98" s="19">
        <v>641</v>
      </c>
      <c r="M98" s="91">
        <f>Table6[[#This Row],[BIDEN VOTES]]/C353</f>
        <v>7.6001897083234529E-2</v>
      </c>
      <c r="N98" s="18">
        <v>0.14699999999999999</v>
      </c>
      <c r="O98" s="92">
        <f>1-(Table6[[#This Row],[NbP]]+Table6[[#This Row],[NbP2]])</f>
        <v>0.49525729191368273</v>
      </c>
    </row>
    <row r="99" spans="1:15" ht="20">
      <c r="A99" s="32" t="s">
        <v>69</v>
      </c>
      <c r="B99" s="33" t="s">
        <v>649</v>
      </c>
      <c r="C99" s="32" t="s">
        <v>1</v>
      </c>
      <c r="D99" s="32" t="s">
        <v>558</v>
      </c>
      <c r="E99" s="32">
        <v>1.21729</v>
      </c>
      <c r="F99" s="31">
        <f t="shared" si="1"/>
        <v>3.2508806933275076E-2</v>
      </c>
      <c r="H99" s="16" t="s">
        <v>422</v>
      </c>
      <c r="I99" s="17">
        <v>1849</v>
      </c>
      <c r="J99" s="91">
        <f>Table6[[#This Row],[TRUMP VOTES]]/C354</f>
        <v>0.34045295525685876</v>
      </c>
      <c r="K99" s="18">
        <v>0.90400000000000003</v>
      </c>
      <c r="L99" s="19">
        <v>166</v>
      </c>
      <c r="M99" s="91">
        <f>Table6[[#This Row],[BIDEN VOTES]]/C354</f>
        <v>3.0565273430307495E-2</v>
      </c>
      <c r="N99" s="18">
        <v>8.1000000000000003E-2</v>
      </c>
      <c r="O99" s="92">
        <f>1-(Table6[[#This Row],[NbP]]+Table6[[#This Row],[NbP2]])</f>
        <v>0.62898177131283373</v>
      </c>
    </row>
    <row r="100" spans="1:15" ht="20">
      <c r="A100" s="30" t="s">
        <v>69</v>
      </c>
      <c r="B100" s="31" t="s">
        <v>105</v>
      </c>
      <c r="C100" s="30" t="s">
        <v>1</v>
      </c>
      <c r="D100" s="30" t="s">
        <v>558</v>
      </c>
      <c r="E100" s="30">
        <v>9.5541400000000003</v>
      </c>
      <c r="F100" s="31">
        <f t="shared" si="1"/>
        <v>0.25515176553942015</v>
      </c>
      <c r="H100" s="16" t="s">
        <v>204</v>
      </c>
      <c r="I100" s="17">
        <v>1330</v>
      </c>
      <c r="J100" s="91">
        <f>Table6[[#This Row],[TRUMP VOTES]]/C355</f>
        <v>0.33602829711975746</v>
      </c>
      <c r="K100" s="18">
        <v>0.84199999999999997</v>
      </c>
      <c r="L100" s="19">
        <v>241</v>
      </c>
      <c r="M100" s="91">
        <f>Table6[[#This Row],[BIDEN VOTES]]/C355</f>
        <v>6.0889338049519959E-2</v>
      </c>
      <c r="N100" s="18">
        <v>0.153</v>
      </c>
      <c r="O100" s="92">
        <f>1-(Table6[[#This Row],[NbP]]+Table6[[#This Row],[NbP2]])</f>
        <v>0.60308236483072264</v>
      </c>
    </row>
    <row r="101" spans="1:15" ht="20">
      <c r="A101" s="32" t="s">
        <v>69</v>
      </c>
      <c r="B101" s="33" t="s">
        <v>106</v>
      </c>
      <c r="C101" s="32" t="s">
        <v>1</v>
      </c>
      <c r="D101" s="32" t="s">
        <v>558</v>
      </c>
      <c r="E101" s="32">
        <v>11.59165</v>
      </c>
      <c r="F101" s="31">
        <f t="shared" si="1"/>
        <v>0.3095652735897757</v>
      </c>
      <c r="H101" s="16" t="s">
        <v>205</v>
      </c>
      <c r="I101" s="17">
        <v>23858</v>
      </c>
      <c r="J101" s="91">
        <f>Table6[[#This Row],[TRUMP VOTES]]/C356</f>
        <v>0.41596345630797127</v>
      </c>
      <c r="K101" s="18">
        <v>0.86299999999999999</v>
      </c>
      <c r="L101" s="17">
        <v>3474</v>
      </c>
      <c r="M101" s="91">
        <f>Table6[[#This Row],[BIDEN VOTES]]/C356</f>
        <v>6.0569077341516148E-2</v>
      </c>
      <c r="N101" s="18">
        <v>0.126</v>
      </c>
      <c r="O101" s="92">
        <f>1-(Table6[[#This Row],[NbP]]+Table6[[#This Row],[NbP2]])</f>
        <v>0.52346746635051256</v>
      </c>
    </row>
    <row r="102" spans="1:15" ht="20">
      <c r="A102" s="30" t="s">
        <v>69</v>
      </c>
      <c r="B102" s="31" t="s">
        <v>650</v>
      </c>
      <c r="C102" s="30" t="s">
        <v>1</v>
      </c>
      <c r="D102" s="30" t="s">
        <v>558</v>
      </c>
      <c r="E102" s="30">
        <v>5.1716100000000003</v>
      </c>
      <c r="F102" s="31">
        <f t="shared" si="1"/>
        <v>0.13811242269647722</v>
      </c>
      <c r="H102" s="16" t="s">
        <v>423</v>
      </c>
      <c r="I102" s="17">
        <v>700630</v>
      </c>
      <c r="J102" s="91">
        <f>Table6[[#This Row],[TRUMP VOTES]]/C357</f>
        <v>0.14968778635429705</v>
      </c>
      <c r="K102" s="18">
        <v>0.42699999999999999</v>
      </c>
      <c r="L102" s="17">
        <v>918193</v>
      </c>
      <c r="M102" s="91">
        <f>Table6[[#This Row],[BIDEN VOTES]]/C357</f>
        <v>0.19616955827756602</v>
      </c>
      <c r="N102" s="18">
        <v>0.56000000000000005</v>
      </c>
      <c r="O102" s="92">
        <f>1-(Table6[[#This Row],[NbP]]+Table6[[#This Row],[NbP2]])</f>
        <v>0.65414265536813687</v>
      </c>
    </row>
    <row r="103" spans="1:15" ht="20">
      <c r="A103" s="32" t="s">
        <v>69</v>
      </c>
      <c r="B103" s="33" t="s">
        <v>651</v>
      </c>
      <c r="C103" s="32" t="s">
        <v>1</v>
      </c>
      <c r="D103" s="32" t="s">
        <v>558</v>
      </c>
      <c r="E103" s="32">
        <v>11.44533</v>
      </c>
      <c r="F103" s="31">
        <f t="shared" si="1"/>
        <v>0.30565766847474413</v>
      </c>
      <c r="H103" s="16" t="s">
        <v>424</v>
      </c>
      <c r="I103" s="17">
        <v>21466</v>
      </c>
      <c r="J103" s="91">
        <f>Table6[[#This Row],[TRUMP VOTES]]/C358</f>
        <v>0.32256901137541888</v>
      </c>
      <c r="K103" s="18">
        <v>0.72299999999999998</v>
      </c>
      <c r="L103" s="17">
        <v>7908</v>
      </c>
      <c r="M103" s="91">
        <f>Table6[[#This Row],[BIDEN VOTES]]/C358</f>
        <v>0.11883330578388207</v>
      </c>
      <c r="N103" s="18">
        <v>0.26600000000000001</v>
      </c>
      <c r="O103" s="92">
        <f>1-(Table6[[#This Row],[NbP]]+Table6[[#This Row],[NbP2]])</f>
        <v>0.55859768284069911</v>
      </c>
    </row>
    <row r="104" spans="1:15" ht="20">
      <c r="A104" s="30" t="s">
        <v>69</v>
      </c>
      <c r="B104" s="31" t="s">
        <v>652</v>
      </c>
      <c r="C104" s="30" t="s">
        <v>1</v>
      </c>
      <c r="D104" s="30" t="s">
        <v>558</v>
      </c>
      <c r="E104" s="30">
        <v>6.7114099999999999</v>
      </c>
      <c r="F104" s="31">
        <f t="shared" si="1"/>
        <v>0.17923414464922222</v>
      </c>
      <c r="H104" s="16" t="s">
        <v>425</v>
      </c>
      <c r="I104" s="17">
        <v>1868</v>
      </c>
      <c r="J104" s="91">
        <f>Table6[[#This Row],[TRUMP VOTES]]/C359</f>
        <v>0.33428775948460987</v>
      </c>
      <c r="K104" s="18">
        <v>0.89900000000000002</v>
      </c>
      <c r="L104" s="19">
        <v>195</v>
      </c>
      <c r="M104" s="91">
        <f>Table6[[#This Row],[BIDEN VOTES]]/C359</f>
        <v>3.4896206156048673E-2</v>
      </c>
      <c r="N104" s="18">
        <v>9.4E-2</v>
      </c>
      <c r="O104" s="92">
        <f>1-(Table6[[#This Row],[NbP]]+Table6[[#This Row],[NbP2]])</f>
        <v>0.63081603435934142</v>
      </c>
    </row>
    <row r="105" spans="1:15" ht="20">
      <c r="A105" s="32" t="s">
        <v>69</v>
      </c>
      <c r="B105" s="33" t="s">
        <v>653</v>
      </c>
      <c r="C105" s="32" t="s">
        <v>1</v>
      </c>
      <c r="D105" s="32" t="s">
        <v>558</v>
      </c>
      <c r="E105" s="32">
        <v>12.87208</v>
      </c>
      <c r="F105" s="31">
        <f t="shared" si="1"/>
        <v>0.34376029011137155</v>
      </c>
      <c r="H105" s="16" t="s">
        <v>426</v>
      </c>
      <c r="I105" s="17">
        <v>1840</v>
      </c>
      <c r="J105" s="91">
        <f>Table6[[#This Row],[TRUMP VOTES]]/C360</f>
        <v>0.32218525652250046</v>
      </c>
      <c r="K105" s="18">
        <v>0.83099999999999996</v>
      </c>
      <c r="L105" s="19">
        <v>353</v>
      </c>
      <c r="M105" s="91">
        <f>Table6[[#This Row],[BIDEN VOTES]]/C360</f>
        <v>6.1810541061110141E-2</v>
      </c>
      <c r="N105" s="18">
        <v>0.159</v>
      </c>
      <c r="O105" s="92">
        <f>1-(Table6[[#This Row],[NbP]]+Table6[[#This Row],[NbP2]])</f>
        <v>0.61600420241638942</v>
      </c>
    </row>
    <row r="106" spans="1:15" ht="20">
      <c r="A106" s="30" t="s">
        <v>69</v>
      </c>
      <c r="B106" s="31" t="s">
        <v>654</v>
      </c>
      <c r="C106" s="30" t="s">
        <v>1</v>
      </c>
      <c r="D106" s="30" t="s">
        <v>558</v>
      </c>
      <c r="E106" s="30">
        <v>8.7169100000000004</v>
      </c>
      <c r="F106" s="31">
        <f t="shared" si="1"/>
        <v>0.23279279731595173</v>
      </c>
      <c r="H106" s="16" t="s">
        <v>427</v>
      </c>
      <c r="I106" s="17">
        <v>47680</v>
      </c>
      <c r="J106" s="91">
        <f>Table6[[#This Row],[TRUMP VOTES]]/C361</f>
        <v>0.21397765979885741</v>
      </c>
      <c r="K106" s="18">
        <v>0.436</v>
      </c>
      <c r="L106" s="17">
        <v>59524</v>
      </c>
      <c r="M106" s="91">
        <f>Table6[[#This Row],[BIDEN VOTES]]/C361</f>
        <v>0.26713100297540243</v>
      </c>
      <c r="N106" s="18">
        <v>0.54400000000000004</v>
      </c>
      <c r="O106" s="92">
        <f>1-(Table6[[#This Row],[NbP]]+Table6[[#This Row],[NbP2]])</f>
        <v>0.51889133722574021</v>
      </c>
    </row>
    <row r="107" spans="1:15" ht="20">
      <c r="A107" s="32" t="s">
        <v>69</v>
      </c>
      <c r="B107" s="33" t="s">
        <v>655</v>
      </c>
      <c r="C107" s="32" t="s">
        <v>1</v>
      </c>
      <c r="D107" s="32" t="s">
        <v>558</v>
      </c>
      <c r="E107" s="32">
        <v>1.35318</v>
      </c>
      <c r="F107" s="31">
        <f t="shared" si="1"/>
        <v>3.6137869666200473E-2</v>
      </c>
      <c r="H107" s="16" t="s">
        <v>428</v>
      </c>
      <c r="I107" s="17">
        <v>1486</v>
      </c>
      <c r="J107" s="91">
        <f>Table6[[#This Row],[TRUMP VOTES]]/C362</f>
        <v>0.38092796718790056</v>
      </c>
      <c r="K107" s="18">
        <v>0.86399999999999999</v>
      </c>
      <c r="L107" s="19">
        <v>206</v>
      </c>
      <c r="M107" s="91">
        <f>Table6[[#This Row],[BIDEN VOTES]]/C362</f>
        <v>5.2806972571135605E-2</v>
      </c>
      <c r="N107" s="18">
        <v>0.12</v>
      </c>
      <c r="O107" s="92">
        <f>1-(Table6[[#This Row],[NbP]]+Table6[[#This Row],[NbP2]])</f>
        <v>0.56626506024096379</v>
      </c>
    </row>
    <row r="108" spans="1:15" ht="20">
      <c r="A108" s="30" t="s">
        <v>69</v>
      </c>
      <c r="B108" s="31" t="s">
        <v>109</v>
      </c>
      <c r="C108" s="30" t="s">
        <v>1</v>
      </c>
      <c r="D108" s="30" t="s">
        <v>558</v>
      </c>
      <c r="E108" s="30">
        <v>18.295559999999998</v>
      </c>
      <c r="F108" s="31">
        <f t="shared" si="1"/>
        <v>0.48859912410037881</v>
      </c>
      <c r="H108" s="16" t="s">
        <v>208</v>
      </c>
      <c r="I108" s="17">
        <v>28911</v>
      </c>
      <c r="J108" s="91">
        <f>Table6[[#This Row],[TRUMP VOTES]]/C363</f>
        <v>0.35270651099806022</v>
      </c>
      <c r="K108" s="18">
        <v>0.79600000000000004</v>
      </c>
      <c r="L108" s="17">
        <v>7060</v>
      </c>
      <c r="M108" s="91">
        <f>Table6[[#This Row],[BIDEN VOTES]]/C363</f>
        <v>8.6130122363332479E-2</v>
      </c>
      <c r="N108" s="18">
        <v>0.19400000000000001</v>
      </c>
      <c r="O108" s="92">
        <f>1-(Table6[[#This Row],[NbP]]+Table6[[#This Row],[NbP2]])</f>
        <v>0.56116336663860733</v>
      </c>
    </row>
    <row r="109" spans="1:15" ht="20">
      <c r="A109" s="32" t="s">
        <v>69</v>
      </c>
      <c r="B109" s="33" t="s">
        <v>656</v>
      </c>
      <c r="C109" s="32" t="s">
        <v>1</v>
      </c>
      <c r="D109" s="32" t="s">
        <v>558</v>
      </c>
      <c r="E109" s="32">
        <v>7.4487800000000002</v>
      </c>
      <c r="F109" s="31">
        <f t="shared" si="1"/>
        <v>0.1989262631816911</v>
      </c>
      <c r="H109" s="16" t="s">
        <v>429</v>
      </c>
      <c r="I109" s="17">
        <v>90527</v>
      </c>
      <c r="J109" s="91">
        <f>Table6[[#This Row],[TRUMP VOTES]]/C364</f>
        <v>0.10512496850094701</v>
      </c>
      <c r="K109" s="18">
        <v>0.41</v>
      </c>
      <c r="L109" s="17">
        <v>128199</v>
      </c>
      <c r="M109" s="91">
        <f>Table6[[#This Row],[BIDEN VOTES]]/C364</f>
        <v>0.14887178230641582</v>
      </c>
      <c r="N109" s="18">
        <v>0.57999999999999996</v>
      </c>
      <c r="O109" s="92">
        <f>1-(Table6[[#This Row],[NbP]]+Table6[[#This Row],[NbP2]])</f>
        <v>0.74600324919263716</v>
      </c>
    </row>
    <row r="110" spans="1:15" ht="20">
      <c r="A110" s="30" t="s">
        <v>69</v>
      </c>
      <c r="B110" s="31" t="s">
        <v>657</v>
      </c>
      <c r="C110" s="30" t="s">
        <v>1</v>
      </c>
      <c r="D110" s="30" t="s">
        <v>558</v>
      </c>
      <c r="E110" s="30">
        <v>17.770409999999998</v>
      </c>
      <c r="F110" s="31">
        <f t="shared" si="1"/>
        <v>0.47457452851427412</v>
      </c>
      <c r="H110" s="16" t="s">
        <v>430</v>
      </c>
      <c r="I110" s="17">
        <v>11926</v>
      </c>
      <c r="J110" s="91">
        <f>Table6[[#This Row],[TRUMP VOTES]]/C365</f>
        <v>0.33027777008502035</v>
      </c>
      <c r="K110" s="18">
        <v>0.79900000000000004</v>
      </c>
      <c r="L110" s="17">
        <v>2860</v>
      </c>
      <c r="M110" s="91">
        <f>Table6[[#This Row],[BIDEN VOTES]]/C365</f>
        <v>7.9204630424547895E-2</v>
      </c>
      <c r="N110" s="18">
        <v>0.192</v>
      </c>
      <c r="O110" s="92">
        <f>1-(Table6[[#This Row],[NbP]]+Table6[[#This Row],[NbP2]])</f>
        <v>0.5905175994904317</v>
      </c>
    </row>
    <row r="111" spans="1:15" ht="20">
      <c r="A111" s="32" t="s">
        <v>69</v>
      </c>
      <c r="B111" s="33" t="s">
        <v>658</v>
      </c>
      <c r="C111" s="32" t="s">
        <v>1</v>
      </c>
      <c r="D111" s="32" t="s">
        <v>558</v>
      </c>
      <c r="E111" s="32">
        <v>14.56162</v>
      </c>
      <c r="F111" s="31">
        <f t="shared" si="1"/>
        <v>0.38888095130635841</v>
      </c>
      <c r="H111" s="16" t="s">
        <v>431</v>
      </c>
      <c r="I111" s="17">
        <v>6536</v>
      </c>
      <c r="J111" s="91">
        <f>Table6[[#This Row],[TRUMP VOTES]]/C366</f>
        <v>0.28434699382232664</v>
      </c>
      <c r="K111" s="18">
        <v>0.80700000000000005</v>
      </c>
      <c r="L111" s="17">
        <v>1482</v>
      </c>
      <c r="M111" s="91">
        <f>Table6[[#This Row],[BIDEN VOTES]]/C366</f>
        <v>6.4474027669015929E-2</v>
      </c>
      <c r="N111" s="18">
        <v>0.183</v>
      </c>
      <c r="O111" s="92">
        <f>1-(Table6[[#This Row],[NbP]]+Table6[[#This Row],[NbP2]])</f>
        <v>0.65117897850865747</v>
      </c>
    </row>
    <row r="112" spans="1:15" ht="20">
      <c r="A112" s="30" t="s">
        <v>69</v>
      </c>
      <c r="B112" s="31" t="s">
        <v>659</v>
      </c>
      <c r="C112" s="30" t="s">
        <v>1</v>
      </c>
      <c r="D112" s="30" t="s">
        <v>558</v>
      </c>
      <c r="E112" s="30">
        <v>18.017250000000001</v>
      </c>
      <c r="F112" s="31">
        <f t="shared" si="1"/>
        <v>0.48116660920450383</v>
      </c>
      <c r="H112" s="16" t="s">
        <v>432</v>
      </c>
      <c r="I112" s="17">
        <v>26496</v>
      </c>
      <c r="J112" s="91">
        <f>Table6[[#This Row],[TRUMP VOTES]]/C367</f>
        <v>0.44141607663473553</v>
      </c>
      <c r="K112" s="18">
        <v>0.81399999999999995</v>
      </c>
      <c r="L112" s="17">
        <v>5648</v>
      </c>
      <c r="M112" s="91">
        <f>Table6[[#This Row],[BIDEN VOTES]]/C367</f>
        <v>9.409412744689713E-2</v>
      </c>
      <c r="N112" s="18">
        <v>0.17399999999999999</v>
      </c>
      <c r="O112" s="92">
        <f>1-(Table6[[#This Row],[NbP]]+Table6[[#This Row],[NbP2]])</f>
        <v>0.46448979591836737</v>
      </c>
    </row>
    <row r="113" spans="1:15" ht="20">
      <c r="A113" s="32" t="s">
        <v>69</v>
      </c>
      <c r="B113" s="33" t="s">
        <v>660</v>
      </c>
      <c r="C113" s="32" t="s">
        <v>1</v>
      </c>
      <c r="D113" s="32" t="s">
        <v>558</v>
      </c>
      <c r="E113" s="32">
        <v>11.812390000000001</v>
      </c>
      <c r="F113" s="31">
        <f t="shared" si="1"/>
        <v>0.31546033067761109</v>
      </c>
      <c r="H113" s="16" t="s">
        <v>433</v>
      </c>
      <c r="I113" s="17">
        <v>12719</v>
      </c>
      <c r="J113" s="91">
        <f>Table6[[#This Row],[TRUMP VOTES]]/C368</f>
        <v>0.34649122807017546</v>
      </c>
      <c r="K113" s="18">
        <v>0.79800000000000004</v>
      </c>
      <c r="L113" s="17">
        <v>3046</v>
      </c>
      <c r="M113" s="91">
        <f>Table6[[#This Row],[BIDEN VOTES]]/C368</f>
        <v>8.2979187098180238E-2</v>
      </c>
      <c r="N113" s="18">
        <v>0.191</v>
      </c>
      <c r="O113" s="92">
        <f>1-(Table6[[#This Row],[NbP]]+Table6[[#This Row],[NbP2]])</f>
        <v>0.57052958483164429</v>
      </c>
    </row>
    <row r="114" spans="1:15" ht="20">
      <c r="A114" s="30" t="s">
        <v>69</v>
      </c>
      <c r="B114" s="31" t="s">
        <v>112</v>
      </c>
      <c r="C114" s="30" t="s">
        <v>1</v>
      </c>
      <c r="D114" s="30" t="s">
        <v>558</v>
      </c>
      <c r="E114" s="30">
        <v>13.931889999999999</v>
      </c>
      <c r="F114" s="31">
        <f t="shared" si="1"/>
        <v>0.3720634542513499</v>
      </c>
      <c r="H114" s="16" t="s">
        <v>211</v>
      </c>
      <c r="I114" s="17">
        <v>7060</v>
      </c>
      <c r="J114" s="91">
        <f>Table6[[#This Row],[TRUMP VOTES]]/C369</f>
        <v>0.3077325429343562</v>
      </c>
      <c r="K114" s="18">
        <v>0.748</v>
      </c>
      <c r="L114" s="17">
        <v>2314</v>
      </c>
      <c r="M114" s="91">
        <f>Table6[[#This Row],[BIDEN VOTES]]/C369</f>
        <v>0.10086304594194055</v>
      </c>
      <c r="N114" s="18">
        <v>0.245</v>
      </c>
      <c r="O114" s="92">
        <f>1-(Table6[[#This Row],[NbP]]+Table6[[#This Row],[NbP2]])</f>
        <v>0.59140441112370323</v>
      </c>
    </row>
    <row r="115" spans="1:15" ht="20">
      <c r="A115" s="32" t="s">
        <v>69</v>
      </c>
      <c r="B115" s="33" t="s">
        <v>661</v>
      </c>
      <c r="C115" s="32" t="s">
        <v>1</v>
      </c>
      <c r="D115" s="32" t="s">
        <v>558</v>
      </c>
      <c r="E115" s="32">
        <v>15.80655</v>
      </c>
      <c r="F115" s="31">
        <f t="shared" si="1"/>
        <v>0.4221279089051575</v>
      </c>
      <c r="H115" s="16" t="s">
        <v>434</v>
      </c>
      <c r="I115" s="17">
        <v>8054</v>
      </c>
      <c r="J115" s="91">
        <f>Table6[[#This Row],[TRUMP VOTES]]/C370</f>
        <v>0.22240631817303178</v>
      </c>
      <c r="K115" s="18">
        <v>0.78700000000000003</v>
      </c>
      <c r="L115" s="17">
        <v>2069</v>
      </c>
      <c r="M115" s="91">
        <f>Table6[[#This Row],[BIDEN VOTES]]/C370</f>
        <v>5.7134178333747551E-2</v>
      </c>
      <c r="N115" s="18">
        <v>0.20200000000000001</v>
      </c>
      <c r="O115" s="92">
        <f>1-(Table6[[#This Row],[NbP]]+Table6[[#This Row],[NbP2]])</f>
        <v>0.72045950349322063</v>
      </c>
    </row>
    <row r="116" spans="1:15" ht="20">
      <c r="A116" s="30" t="s">
        <v>69</v>
      </c>
      <c r="B116" s="31" t="s">
        <v>662</v>
      </c>
      <c r="C116" s="30" t="s">
        <v>1</v>
      </c>
      <c r="D116" s="30" t="s">
        <v>558</v>
      </c>
      <c r="E116" s="30">
        <v>9.7222200000000001</v>
      </c>
      <c r="F116" s="31">
        <f t="shared" si="1"/>
        <v>0.25964049071529843</v>
      </c>
      <c r="H116" s="16" t="s">
        <v>435</v>
      </c>
      <c r="I116" s="19">
        <v>779</v>
      </c>
      <c r="J116" s="91">
        <f>Table6[[#This Row],[TRUMP VOTES]]/C371</f>
        <v>0.16620439513548113</v>
      </c>
      <c r="K116" s="18">
        <v>0.66900000000000004</v>
      </c>
      <c r="L116" s="19">
        <v>371</v>
      </c>
      <c r="M116" s="91">
        <f>Table6[[#This Row],[BIDEN VOTES]]/C371</f>
        <v>7.9155109878387031E-2</v>
      </c>
      <c r="N116" s="18">
        <v>0.318</v>
      </c>
      <c r="O116" s="92">
        <f>1-(Table6[[#This Row],[NbP]]+Table6[[#This Row],[NbP2]])</f>
        <v>0.75464049498613184</v>
      </c>
    </row>
    <row r="117" spans="1:15" ht="20">
      <c r="A117" s="32" t="s">
        <v>69</v>
      </c>
      <c r="B117" s="33" t="s">
        <v>663</v>
      </c>
      <c r="C117" s="32" t="s">
        <v>1</v>
      </c>
      <c r="D117" s="32" t="s">
        <v>558</v>
      </c>
      <c r="E117" s="32">
        <v>14.43582</v>
      </c>
      <c r="F117" s="31">
        <f t="shared" si="1"/>
        <v>0.3855213509545885</v>
      </c>
      <c r="H117" s="16" t="s">
        <v>436</v>
      </c>
      <c r="I117" s="17">
        <v>29163</v>
      </c>
      <c r="J117" s="91">
        <f>Table6[[#This Row],[TRUMP VOTES]]/C372</f>
        <v>0.30314338579239519</v>
      </c>
      <c r="K117" s="18">
        <v>0.75600000000000001</v>
      </c>
      <c r="L117" s="17">
        <v>8906</v>
      </c>
      <c r="M117" s="91">
        <f>Table6[[#This Row],[BIDEN VOTES]]/C372</f>
        <v>9.2576037920209561E-2</v>
      </c>
      <c r="N117" s="18">
        <v>0.23100000000000001</v>
      </c>
      <c r="O117" s="92">
        <f>1-(Table6[[#This Row],[NbP]]+Table6[[#This Row],[NbP2]])</f>
        <v>0.60428057628739529</v>
      </c>
    </row>
    <row r="118" spans="1:15" ht="20">
      <c r="A118" s="30" t="s">
        <v>69</v>
      </c>
      <c r="B118" s="31" t="s">
        <v>664</v>
      </c>
      <c r="C118" s="30" t="s">
        <v>1</v>
      </c>
      <c r="D118" s="30" t="s">
        <v>558</v>
      </c>
      <c r="E118" s="30">
        <v>15.16854</v>
      </c>
      <c r="F118" s="31">
        <f t="shared" si="1"/>
        <v>0.40508928712111358</v>
      </c>
      <c r="H118" s="16" t="s">
        <v>437</v>
      </c>
      <c r="I118" s="17">
        <v>7681</v>
      </c>
      <c r="J118" s="91">
        <f>Table6[[#This Row],[TRUMP VOTES]]/C373</f>
        <v>0.36394219379294007</v>
      </c>
      <c r="K118" s="18">
        <v>0.876</v>
      </c>
      <c r="L118" s="19">
        <v>965</v>
      </c>
      <c r="M118" s="91">
        <f>Table6[[#This Row],[BIDEN VOTES]]/C373</f>
        <v>4.5723762141672591E-2</v>
      </c>
      <c r="N118" s="18">
        <v>0.11</v>
      </c>
      <c r="O118" s="92">
        <f>1-(Table6[[#This Row],[NbP]]+Table6[[#This Row],[NbP2]])</f>
        <v>0.59033404406538736</v>
      </c>
    </row>
    <row r="119" spans="1:15" ht="20">
      <c r="A119" s="32" t="s">
        <v>69</v>
      </c>
      <c r="B119" s="33" t="s">
        <v>665</v>
      </c>
      <c r="C119" s="32" t="s">
        <v>1</v>
      </c>
      <c r="D119" s="32" t="s">
        <v>558</v>
      </c>
      <c r="E119" s="32">
        <v>30.651340000000001</v>
      </c>
      <c r="F119" s="31">
        <f t="shared" si="1"/>
        <v>0.81857116570921618</v>
      </c>
      <c r="H119" s="16" t="s">
        <v>438</v>
      </c>
      <c r="I119" s="19">
        <v>759</v>
      </c>
      <c r="J119" s="91">
        <f>Table6[[#This Row],[TRUMP VOTES]]/C374</f>
        <v>0.48873148744365746</v>
      </c>
      <c r="K119" s="18">
        <v>0.85399999999999998</v>
      </c>
      <c r="L119" s="19">
        <v>120</v>
      </c>
      <c r="M119" s="91">
        <f>Table6[[#This Row],[BIDEN VOTES]]/C374</f>
        <v>7.7269800386349008E-2</v>
      </c>
      <c r="N119" s="18">
        <v>0.13500000000000001</v>
      </c>
      <c r="O119" s="92">
        <f>1-(Table6[[#This Row],[NbP]]+Table6[[#This Row],[NbP2]])</f>
        <v>0.43399871216999353</v>
      </c>
    </row>
    <row r="120" spans="1:15" ht="20">
      <c r="A120" s="30" t="s">
        <v>69</v>
      </c>
      <c r="B120" s="31" t="s">
        <v>666</v>
      </c>
      <c r="C120" s="30" t="s">
        <v>1</v>
      </c>
      <c r="D120" s="30" t="s">
        <v>558</v>
      </c>
      <c r="E120" s="30">
        <v>18.808779999999999</v>
      </c>
      <c r="F120" s="31">
        <f t="shared" si="1"/>
        <v>0.5023051184766536</v>
      </c>
      <c r="H120" s="16" t="s">
        <v>439</v>
      </c>
      <c r="I120" s="17">
        <v>3418</v>
      </c>
      <c r="J120" s="91">
        <f>Table6[[#This Row],[TRUMP VOTES]]/C375</f>
        <v>0.38456345634563455</v>
      </c>
      <c r="K120" s="18">
        <v>0.90400000000000003</v>
      </c>
      <c r="L120" s="19">
        <v>331</v>
      </c>
      <c r="M120" s="91">
        <f>Table6[[#This Row],[BIDEN VOTES]]/C375</f>
        <v>3.7241224122412243E-2</v>
      </c>
      <c r="N120" s="18">
        <v>8.7999999999999995E-2</v>
      </c>
      <c r="O120" s="92">
        <f>1-(Table6[[#This Row],[NbP]]+Table6[[#This Row],[NbP2]])</f>
        <v>0.57819531953195313</v>
      </c>
    </row>
    <row r="121" spans="1:15" ht="20">
      <c r="A121" s="32" t="s">
        <v>69</v>
      </c>
      <c r="B121" s="33" t="s">
        <v>114</v>
      </c>
      <c r="C121" s="32" t="s">
        <v>1</v>
      </c>
      <c r="D121" s="32" t="s">
        <v>558</v>
      </c>
      <c r="E121" s="32">
        <v>6.7632899999999996</v>
      </c>
      <c r="F121" s="31">
        <f t="shared" si="1"/>
        <v>0.18061964597076291</v>
      </c>
      <c r="H121" s="16" t="s">
        <v>213</v>
      </c>
      <c r="I121" s="17">
        <v>5231</v>
      </c>
      <c r="J121" s="91">
        <f>Table6[[#This Row],[TRUMP VOTES]]/C376</f>
        <v>0.35292133315342061</v>
      </c>
      <c r="K121" s="18">
        <v>0.82499999999999996</v>
      </c>
      <c r="L121" s="17">
        <v>1033</v>
      </c>
      <c r="M121" s="91">
        <f>Table6[[#This Row],[BIDEN VOTES]]/C376</f>
        <v>6.9693698556200237E-2</v>
      </c>
      <c r="N121" s="18">
        <v>0.16300000000000001</v>
      </c>
      <c r="O121" s="92">
        <f>1-(Table6[[#This Row],[NbP]]+Table6[[#This Row],[NbP2]])</f>
        <v>0.57738496829037911</v>
      </c>
    </row>
    <row r="122" spans="1:15" ht="20">
      <c r="A122" s="30" t="s">
        <v>69</v>
      </c>
      <c r="B122" s="31" t="s">
        <v>667</v>
      </c>
      <c r="C122" s="30" t="s">
        <v>1</v>
      </c>
      <c r="D122" s="30" t="s">
        <v>558</v>
      </c>
      <c r="E122" s="30">
        <v>9.0546900000000008</v>
      </c>
      <c r="F122" s="31">
        <f t="shared" si="1"/>
        <v>0.24181351120165001</v>
      </c>
      <c r="H122" s="16" t="s">
        <v>440</v>
      </c>
      <c r="I122" s="17">
        <v>12542</v>
      </c>
      <c r="J122" s="91">
        <f>Table6[[#This Row],[TRUMP VOTES]]/C377</f>
        <v>0.35267982678139587</v>
      </c>
      <c r="K122" s="18">
        <v>0.80400000000000005</v>
      </c>
      <c r="L122" s="17">
        <v>2954</v>
      </c>
      <c r="M122" s="91">
        <f>Table6[[#This Row],[BIDEN VOTES]]/C377</f>
        <v>8.3066194252291767E-2</v>
      </c>
      <c r="N122" s="18">
        <v>0.189</v>
      </c>
      <c r="O122" s="92">
        <f>1-(Table6[[#This Row],[NbP]]+Table6[[#This Row],[NbP2]])</f>
        <v>0.56425397896631235</v>
      </c>
    </row>
    <row r="123" spans="1:15" ht="20">
      <c r="A123" s="32" t="s">
        <v>69</v>
      </c>
      <c r="B123" s="33" t="s">
        <v>668</v>
      </c>
      <c r="C123" s="32" t="s">
        <v>1</v>
      </c>
      <c r="D123" s="32" t="s">
        <v>558</v>
      </c>
      <c r="E123" s="32">
        <v>6.13497</v>
      </c>
      <c r="F123" s="31">
        <f t="shared" si="1"/>
        <v>0.1638398042138148</v>
      </c>
      <c r="H123" s="16" t="s">
        <v>441</v>
      </c>
      <c r="I123" s="19">
        <v>784</v>
      </c>
      <c r="J123" s="91">
        <f>Table6[[#This Row],[TRUMP VOTES]]/C378</f>
        <v>0.34922048997772831</v>
      </c>
      <c r="K123" s="18">
        <v>0.60099999999999998</v>
      </c>
      <c r="L123" s="19">
        <v>501</v>
      </c>
      <c r="M123" s="91">
        <f>Table6[[#This Row],[BIDEN VOTES]]/C378</f>
        <v>0.22316258351893095</v>
      </c>
      <c r="N123" s="18">
        <v>0.38400000000000001</v>
      </c>
      <c r="O123" s="92">
        <f>1-(Table6[[#This Row],[NbP]]+Table6[[#This Row],[NbP2]])</f>
        <v>0.42761692650334071</v>
      </c>
    </row>
    <row r="124" spans="1:15" ht="20">
      <c r="A124" s="30" t="s">
        <v>69</v>
      </c>
      <c r="B124" s="31" t="s">
        <v>115</v>
      </c>
      <c r="C124" s="30" t="s">
        <v>1</v>
      </c>
      <c r="D124" s="30" t="s">
        <v>558</v>
      </c>
      <c r="E124" s="30">
        <v>12.062950000000001</v>
      </c>
      <c r="F124" s="31">
        <f t="shared" si="1"/>
        <v>0.32215175726059581</v>
      </c>
      <c r="H124" s="16" t="s">
        <v>214</v>
      </c>
      <c r="I124" s="17">
        <v>47570</v>
      </c>
      <c r="J124" s="91">
        <f>Table6[[#This Row],[TRUMP VOTES]]/C379</f>
        <v>0.18792269768029835</v>
      </c>
      <c r="K124" s="18">
        <v>0.502</v>
      </c>
      <c r="L124" s="17">
        <v>46073</v>
      </c>
      <c r="M124" s="91">
        <f>Table6[[#This Row],[BIDEN VOTES]]/C379</f>
        <v>0.18200888060173187</v>
      </c>
      <c r="N124" s="18">
        <v>0.48599999999999999</v>
      </c>
      <c r="O124" s="92">
        <f>1-(Table6[[#This Row],[NbP]]+Table6[[#This Row],[NbP2]])</f>
        <v>0.63006842171796973</v>
      </c>
    </row>
    <row r="125" spans="1:15" ht="20">
      <c r="A125" s="32" t="s">
        <v>69</v>
      </c>
      <c r="B125" s="33" t="s">
        <v>669</v>
      </c>
      <c r="C125" s="32" t="s">
        <v>1</v>
      </c>
      <c r="D125" s="32" t="s">
        <v>558</v>
      </c>
      <c r="E125" s="32">
        <v>17.603249999999999</v>
      </c>
      <c r="F125" s="31">
        <f t="shared" si="1"/>
        <v>0.47011037275273315</v>
      </c>
      <c r="H125" s="16" t="s">
        <v>442</v>
      </c>
      <c r="I125" s="19">
        <v>833</v>
      </c>
      <c r="J125" s="91">
        <f>Table6[[#This Row],[TRUMP VOTES]]/C380</f>
        <v>0.16059379217273953</v>
      </c>
      <c r="K125" s="18">
        <v>0.40899999999999997</v>
      </c>
      <c r="L125" s="17">
        <v>1197</v>
      </c>
      <c r="M125" s="91">
        <f>Table6[[#This Row],[BIDEN VOTES]]/C380</f>
        <v>0.23076923076923078</v>
      </c>
      <c r="N125" s="18">
        <v>0.58799999999999997</v>
      </c>
      <c r="O125" s="92">
        <f>1-(Table6[[#This Row],[NbP]]+Table6[[#This Row],[NbP2]])</f>
        <v>0.60863697705802966</v>
      </c>
    </row>
    <row r="126" spans="1:15" ht="20">
      <c r="A126" s="30" t="s">
        <v>69</v>
      </c>
      <c r="B126" s="31" t="s">
        <v>670</v>
      </c>
      <c r="C126" s="30" t="s">
        <v>1</v>
      </c>
      <c r="D126" s="30" t="s">
        <v>558</v>
      </c>
      <c r="E126" s="30">
        <v>10.183809999999999</v>
      </c>
      <c r="F126" s="31">
        <f t="shared" si="1"/>
        <v>0.27196766024131969</v>
      </c>
      <c r="H126" s="16" t="s">
        <v>443</v>
      </c>
      <c r="I126" s="17">
        <v>7453</v>
      </c>
      <c r="J126" s="91">
        <f>Table6[[#This Row],[TRUMP VOTES]]/C381</f>
        <v>0.18268947936072163</v>
      </c>
      <c r="K126" s="18">
        <v>0.54500000000000004</v>
      </c>
      <c r="L126" s="17">
        <v>6119</v>
      </c>
      <c r="M126" s="91">
        <f>Table6[[#This Row],[BIDEN VOTES]]/C381</f>
        <v>0.14999019511716835</v>
      </c>
      <c r="N126" s="18">
        <v>0.44800000000000001</v>
      </c>
      <c r="O126" s="92">
        <f>1-(Table6[[#This Row],[NbP]]+Table6[[#This Row],[NbP2]])</f>
        <v>0.66732032552211007</v>
      </c>
    </row>
    <row r="127" spans="1:15" ht="20">
      <c r="A127" s="32" t="s">
        <v>69</v>
      </c>
      <c r="B127" s="33" t="s">
        <v>116</v>
      </c>
      <c r="C127" s="32" t="s">
        <v>1</v>
      </c>
      <c r="D127" s="32" t="s">
        <v>558</v>
      </c>
      <c r="E127" s="32">
        <v>12.26614</v>
      </c>
      <c r="F127" s="31">
        <f t="shared" si="1"/>
        <v>0.32757812606406261</v>
      </c>
      <c r="H127" s="16" t="s">
        <v>215</v>
      </c>
      <c r="I127" s="17">
        <v>54628</v>
      </c>
      <c r="J127" s="91">
        <f>Table6[[#This Row],[TRUMP VOTES]]/C382</f>
        <v>0.31879271004149184</v>
      </c>
      <c r="K127" s="18">
        <v>0.75900000000000001</v>
      </c>
      <c r="L127" s="17">
        <v>16464</v>
      </c>
      <c r="M127" s="91">
        <f>Table6[[#This Row],[BIDEN VOTES]]/C382</f>
        <v>9.6078992057610044E-2</v>
      </c>
      <c r="N127" s="18">
        <v>0.22900000000000001</v>
      </c>
      <c r="O127" s="92">
        <f>1-(Table6[[#This Row],[NbP]]+Table6[[#This Row],[NbP2]])</f>
        <v>0.58512829790089804</v>
      </c>
    </row>
    <row r="128" spans="1:15" ht="20">
      <c r="A128" s="30" t="s">
        <v>69</v>
      </c>
      <c r="B128" s="31" t="s">
        <v>671</v>
      </c>
      <c r="C128" s="30" t="s">
        <v>1</v>
      </c>
      <c r="D128" s="30" t="s">
        <v>558</v>
      </c>
      <c r="E128" s="30">
        <v>19.432449999999999</v>
      </c>
      <c r="F128" s="31">
        <f t="shared" si="1"/>
        <v>0.51896077786765793</v>
      </c>
      <c r="H128" s="16" t="s">
        <v>444</v>
      </c>
      <c r="I128" s="17">
        <v>5660</v>
      </c>
      <c r="J128" s="91">
        <f>Table6[[#This Row],[TRUMP VOTES]]/C383</f>
        <v>0.28479420348193618</v>
      </c>
      <c r="K128" s="18">
        <v>0.84</v>
      </c>
      <c r="L128" s="19">
        <v>999</v>
      </c>
      <c r="M128" s="91">
        <f>Table6[[#This Row],[BIDEN VOTES]]/C383</f>
        <v>5.0266680084532556E-2</v>
      </c>
      <c r="N128" s="18">
        <v>0.14799999999999999</v>
      </c>
      <c r="O128" s="92">
        <f>1-(Table6[[#This Row],[NbP]]+Table6[[#This Row],[NbP2]])</f>
        <v>0.66493911643353121</v>
      </c>
    </row>
    <row r="129" spans="1:15" ht="20">
      <c r="A129" s="32" t="s">
        <v>69</v>
      </c>
      <c r="B129" s="33" t="s">
        <v>672</v>
      </c>
      <c r="C129" s="32" t="s">
        <v>1</v>
      </c>
      <c r="D129" s="32" t="s">
        <v>558</v>
      </c>
      <c r="E129" s="32">
        <v>14.37987</v>
      </c>
      <c r="F129" s="31">
        <f t="shared" si="1"/>
        <v>0.38402715668049053</v>
      </c>
      <c r="H129" s="16" t="s">
        <v>445</v>
      </c>
      <c r="I129" s="17">
        <v>3968</v>
      </c>
      <c r="J129" s="91">
        <f>Table6[[#This Row],[TRUMP VOTES]]/C384</f>
        <v>0.25522608863446322</v>
      </c>
      <c r="K129" s="18">
        <v>0.75600000000000001</v>
      </c>
      <c r="L129" s="17">
        <v>1234</v>
      </c>
      <c r="M129" s="91">
        <f>Table6[[#This Row],[BIDEN VOTES]]/C384</f>
        <v>7.9372226152955555E-2</v>
      </c>
      <c r="N129" s="18">
        <v>0.23499999999999999</v>
      </c>
      <c r="O129" s="92">
        <f>1-(Table6[[#This Row],[NbP]]+Table6[[#This Row],[NbP2]])</f>
        <v>0.66540168521258125</v>
      </c>
    </row>
    <row r="130" spans="1:15" ht="20">
      <c r="A130" s="30" t="s">
        <v>69</v>
      </c>
      <c r="B130" s="31" t="s">
        <v>673</v>
      </c>
      <c r="C130" s="30" t="s">
        <v>1</v>
      </c>
      <c r="D130" s="30" t="s">
        <v>558</v>
      </c>
      <c r="E130" s="30">
        <v>11.965809999999999</v>
      </c>
      <c r="F130" s="31">
        <f t="shared" ref="F130:F193" si="2">E130/(MAX(E:E)-MIN(E:E))</f>
        <v>0.31955754757720201</v>
      </c>
      <c r="H130" s="16" t="s">
        <v>446</v>
      </c>
      <c r="I130" s="17">
        <v>37624</v>
      </c>
      <c r="J130" s="91">
        <f>Table6[[#This Row],[TRUMP VOTES]]/C385</f>
        <v>0.28987919132149903</v>
      </c>
      <c r="K130" s="18">
        <v>0.66400000000000003</v>
      </c>
      <c r="L130" s="17">
        <v>18405</v>
      </c>
      <c r="M130" s="91">
        <f>Table6[[#This Row],[BIDEN VOTES]]/C385</f>
        <v>0.14180380917159763</v>
      </c>
      <c r="N130" s="18">
        <v>0.32500000000000001</v>
      </c>
      <c r="O130" s="92">
        <f>1-(Table6[[#This Row],[NbP]]+Table6[[#This Row],[NbP2]])</f>
        <v>0.56831699950690329</v>
      </c>
    </row>
    <row r="131" spans="1:15" ht="20">
      <c r="A131" s="32" t="s">
        <v>69</v>
      </c>
      <c r="B131" s="33" t="s">
        <v>674</v>
      </c>
      <c r="C131" s="32" t="s">
        <v>1</v>
      </c>
      <c r="D131" s="32" t="s">
        <v>558</v>
      </c>
      <c r="E131" s="32">
        <v>5.1456299999999997</v>
      </c>
      <c r="F131" s="31">
        <f t="shared" si="2"/>
        <v>0.13741860380030085</v>
      </c>
      <c r="H131" s="16" t="s">
        <v>447</v>
      </c>
      <c r="I131" s="17">
        <v>20083</v>
      </c>
      <c r="J131" s="91">
        <f>Table6[[#This Row],[TRUMP VOTES]]/C386</f>
        <v>0.44147193950451735</v>
      </c>
      <c r="K131" s="18">
        <v>0.76</v>
      </c>
      <c r="L131" s="17">
        <v>6020</v>
      </c>
      <c r="M131" s="91">
        <f>Table6[[#This Row],[BIDEN VOTES]]/C386</f>
        <v>0.13233386823767337</v>
      </c>
      <c r="N131" s="18">
        <v>0.22800000000000001</v>
      </c>
      <c r="O131" s="92">
        <f>1-(Table6[[#This Row],[NbP]]+Table6[[#This Row],[NbP2]])</f>
        <v>0.4261941922578093</v>
      </c>
    </row>
    <row r="132" spans="1:15" ht="20">
      <c r="A132" s="30" t="s">
        <v>69</v>
      </c>
      <c r="B132" s="31" t="s">
        <v>675</v>
      </c>
      <c r="C132" s="30" t="s">
        <v>1</v>
      </c>
      <c r="D132" s="30" t="s">
        <v>558</v>
      </c>
      <c r="E132" s="30">
        <v>0</v>
      </c>
      <c r="F132" s="31">
        <f t="shared" si="2"/>
        <v>0</v>
      </c>
      <c r="H132" s="16" t="s">
        <v>448</v>
      </c>
      <c r="I132" s="19">
        <v>127</v>
      </c>
      <c r="J132" s="91">
        <f>Table6[[#This Row],[TRUMP VOTES]]/C387</f>
        <v>0.32480818414322249</v>
      </c>
      <c r="K132" s="18">
        <v>0.65500000000000003</v>
      </c>
      <c r="L132" s="19">
        <v>65</v>
      </c>
      <c r="M132" s="91">
        <f>Table6[[#This Row],[BIDEN VOTES]]/C387</f>
        <v>0.16624040920716113</v>
      </c>
      <c r="N132" s="18">
        <v>0.33500000000000002</v>
      </c>
      <c r="O132" s="92">
        <f>1-(Table6[[#This Row],[NbP]]+Table6[[#This Row],[NbP2]])</f>
        <v>0.50895140664961636</v>
      </c>
    </row>
    <row r="133" spans="1:15" ht="20">
      <c r="A133" s="32" t="s">
        <v>69</v>
      </c>
      <c r="B133" s="33" t="s">
        <v>676</v>
      </c>
      <c r="C133" s="32" t="s">
        <v>1</v>
      </c>
      <c r="D133" s="32" t="s">
        <v>558</v>
      </c>
      <c r="E133" s="32">
        <v>0</v>
      </c>
      <c r="F133" s="31">
        <f t="shared" si="2"/>
        <v>0</v>
      </c>
      <c r="H133" s="16" t="s">
        <v>449</v>
      </c>
      <c r="I133" s="19">
        <v>411</v>
      </c>
      <c r="J133" s="91">
        <f>Table6[[#This Row],[TRUMP VOTES]]/C388</f>
        <v>0.58380681818181823</v>
      </c>
      <c r="K133" s="18">
        <v>0.89</v>
      </c>
      <c r="L133" s="19">
        <v>47</v>
      </c>
      <c r="M133" s="91">
        <f>Table6[[#This Row],[BIDEN VOTES]]/C388</f>
        <v>6.6761363636363633E-2</v>
      </c>
      <c r="N133" s="18">
        <v>0.10199999999999999</v>
      </c>
      <c r="O133" s="92">
        <f>1-(Table6[[#This Row],[NbP]]+Table6[[#This Row],[NbP2]])</f>
        <v>0.34943181818181812</v>
      </c>
    </row>
    <row r="134" spans="1:15" ht="20">
      <c r="A134" s="30" t="s">
        <v>69</v>
      </c>
      <c r="B134" s="31" t="s">
        <v>677</v>
      </c>
      <c r="C134" s="30" t="s">
        <v>1</v>
      </c>
      <c r="D134" s="30" t="s">
        <v>558</v>
      </c>
      <c r="E134" s="30">
        <v>14.408659999999999</v>
      </c>
      <c r="F134" s="31">
        <f t="shared" si="2"/>
        <v>0.38479601911393613</v>
      </c>
      <c r="H134" s="16" t="s">
        <v>450</v>
      </c>
      <c r="I134" s="17">
        <v>20879</v>
      </c>
      <c r="J134" s="91">
        <f>Table6[[#This Row],[TRUMP VOTES]]/C389</f>
        <v>0.4000191589232685</v>
      </c>
      <c r="K134" s="18">
        <v>0.753</v>
      </c>
      <c r="L134" s="17">
        <v>6524</v>
      </c>
      <c r="M134" s="91">
        <f>Table6[[#This Row],[BIDEN VOTES]]/C389</f>
        <v>0.12499281540377431</v>
      </c>
      <c r="N134" s="18">
        <v>0.23499999999999999</v>
      </c>
      <c r="O134" s="92">
        <f>1-(Table6[[#This Row],[NbP]]+Table6[[#This Row],[NbP2]])</f>
        <v>0.47498802567295717</v>
      </c>
    </row>
    <row r="135" spans="1:15" ht="20">
      <c r="A135" s="32" t="s">
        <v>69</v>
      </c>
      <c r="B135" s="33" t="s">
        <v>678</v>
      </c>
      <c r="C135" s="32" t="s">
        <v>1</v>
      </c>
      <c r="D135" s="32" t="s">
        <v>558</v>
      </c>
      <c r="E135" s="32">
        <v>3.75</v>
      </c>
      <c r="F135" s="31">
        <f t="shared" si="2"/>
        <v>0.10014706930951667</v>
      </c>
      <c r="H135" s="16" t="s">
        <v>451</v>
      </c>
      <c r="I135" s="17">
        <v>1987</v>
      </c>
      <c r="J135" s="91">
        <f>Table6[[#This Row],[TRUMP VOTES]]/C390</f>
        <v>0.45417142857142856</v>
      </c>
      <c r="K135" s="18">
        <v>0.86699999999999999</v>
      </c>
      <c r="L135" s="19">
        <v>284</v>
      </c>
      <c r="M135" s="91">
        <f>Table6[[#This Row],[BIDEN VOTES]]/C390</f>
        <v>6.4914285714285716E-2</v>
      </c>
      <c r="N135" s="18">
        <v>0.124</v>
      </c>
      <c r="O135" s="92">
        <f>1-(Table6[[#This Row],[NbP]]+Table6[[#This Row],[NbP2]])</f>
        <v>0.48091428571428574</v>
      </c>
    </row>
    <row r="136" spans="1:15" ht="20">
      <c r="A136" s="30" t="s">
        <v>69</v>
      </c>
      <c r="B136" s="31" t="s">
        <v>679</v>
      </c>
      <c r="C136" s="30" t="s">
        <v>1</v>
      </c>
      <c r="D136" s="30" t="s">
        <v>558</v>
      </c>
      <c r="E136" s="30">
        <v>0</v>
      </c>
      <c r="F136" s="31">
        <f t="shared" si="2"/>
        <v>0</v>
      </c>
      <c r="H136" s="16" t="s">
        <v>452</v>
      </c>
      <c r="I136" s="19">
        <v>151</v>
      </c>
      <c r="J136" s="91">
        <f>Table6[[#This Row],[TRUMP VOTES]]/C391</f>
        <v>0.54121863799283154</v>
      </c>
      <c r="K136" s="18">
        <v>0.95</v>
      </c>
      <c r="L136" s="19">
        <v>8</v>
      </c>
      <c r="M136" s="91">
        <f>Table6[[#This Row],[BIDEN VOTES]]/C391</f>
        <v>2.8673835125448029E-2</v>
      </c>
      <c r="N136" s="18">
        <v>0.05</v>
      </c>
      <c r="O136" s="92">
        <f>1-(Table6[[#This Row],[NbP]]+Table6[[#This Row],[NbP2]])</f>
        <v>0.43010752688172038</v>
      </c>
    </row>
    <row r="137" spans="1:15" ht="20">
      <c r="A137" s="32" t="s">
        <v>69</v>
      </c>
      <c r="B137" s="33" t="s">
        <v>680</v>
      </c>
      <c r="C137" s="32" t="s">
        <v>1</v>
      </c>
      <c r="D137" s="32" t="s">
        <v>558</v>
      </c>
      <c r="E137" s="32">
        <v>18.30986</v>
      </c>
      <c r="F137" s="31">
        <f t="shared" si="2"/>
        <v>0.48898101825801255</v>
      </c>
      <c r="H137" s="16" t="s">
        <v>453</v>
      </c>
      <c r="I137" s="17">
        <v>1144</v>
      </c>
      <c r="J137" s="91">
        <f>Table6[[#This Row],[TRUMP VOTES]]/C392</f>
        <v>0.31137724550898205</v>
      </c>
      <c r="K137" s="18">
        <v>0.71399999999999997</v>
      </c>
      <c r="L137" s="19">
        <v>446</v>
      </c>
      <c r="M137" s="91">
        <f>Table6[[#This Row],[BIDEN VOTES]]/C392</f>
        <v>0.12139357648339684</v>
      </c>
      <c r="N137" s="18">
        <v>0.27800000000000002</v>
      </c>
      <c r="O137" s="92">
        <f>1-(Table6[[#This Row],[NbP]]+Table6[[#This Row],[NbP2]])</f>
        <v>0.56722917800762107</v>
      </c>
    </row>
    <row r="138" spans="1:15" ht="20">
      <c r="A138" s="30" t="s">
        <v>69</v>
      </c>
      <c r="B138" s="31" t="s">
        <v>681</v>
      </c>
      <c r="C138" s="30" t="s">
        <v>1</v>
      </c>
      <c r="D138" s="30" t="s">
        <v>558</v>
      </c>
      <c r="E138" s="30">
        <v>18.811029999999999</v>
      </c>
      <c r="F138" s="31">
        <f t="shared" si="2"/>
        <v>0.50236520671823925</v>
      </c>
      <c r="H138" s="16" t="s">
        <v>454</v>
      </c>
      <c r="I138" s="17">
        <v>5504</v>
      </c>
      <c r="J138" s="91">
        <f>Table6[[#This Row],[TRUMP VOTES]]/C393</f>
        <v>0.17913751017087062</v>
      </c>
      <c r="K138" s="18">
        <v>0.503</v>
      </c>
      <c r="L138" s="17">
        <v>5314</v>
      </c>
      <c r="M138" s="91">
        <f>Table6[[#This Row],[BIDEN VOTES]]/C393</f>
        <v>0.17295362082994303</v>
      </c>
      <c r="N138" s="18">
        <v>0.48599999999999999</v>
      </c>
      <c r="O138" s="92">
        <f>1-(Table6[[#This Row],[NbP]]+Table6[[#This Row],[NbP2]])</f>
        <v>0.64790886899918632</v>
      </c>
    </row>
    <row r="139" spans="1:15" ht="20">
      <c r="A139" s="32" t="s">
        <v>69</v>
      </c>
      <c r="B139" s="33" t="s">
        <v>117</v>
      </c>
      <c r="C139" s="32" t="s">
        <v>1</v>
      </c>
      <c r="D139" s="32" t="s">
        <v>558</v>
      </c>
      <c r="E139" s="32">
        <v>12.133470000000001</v>
      </c>
      <c r="F139" s="31">
        <f t="shared" si="2"/>
        <v>0.32403505628131768</v>
      </c>
      <c r="H139" s="16" t="s">
        <v>216</v>
      </c>
      <c r="I139" s="17">
        <v>1180</v>
      </c>
      <c r="J139" s="91">
        <f>Table6[[#This Row],[TRUMP VOTES]]/C394</f>
        <v>0.32073933134003807</v>
      </c>
      <c r="K139" s="18">
        <v>0.81</v>
      </c>
      <c r="L139" s="19">
        <v>265</v>
      </c>
      <c r="M139" s="91">
        <f>Table6[[#This Row],[BIDEN VOTES]]/C394</f>
        <v>7.2030443055178042E-2</v>
      </c>
      <c r="N139" s="18">
        <v>0.182</v>
      </c>
      <c r="O139" s="92">
        <f>1-(Table6[[#This Row],[NbP]]+Table6[[#This Row],[NbP2]])</f>
        <v>0.6072302256047839</v>
      </c>
    </row>
    <row r="140" spans="1:15" ht="20">
      <c r="A140" s="30" t="s">
        <v>69</v>
      </c>
      <c r="B140" s="31" t="s">
        <v>682</v>
      </c>
      <c r="C140" s="30" t="s">
        <v>1</v>
      </c>
      <c r="D140" s="30" t="s">
        <v>558</v>
      </c>
      <c r="E140" s="30">
        <v>19.14762</v>
      </c>
      <c r="F140" s="31">
        <f t="shared" si="2"/>
        <v>0.51135414060061002</v>
      </c>
      <c r="H140" s="16" t="s">
        <v>457</v>
      </c>
      <c r="I140" s="17">
        <v>1335</v>
      </c>
      <c r="J140" s="91">
        <f>Table6[[#This Row],[TRUMP VOTES]]/C395</f>
        <v>0.17679777512912198</v>
      </c>
      <c r="K140" s="18">
        <v>0.55500000000000005</v>
      </c>
      <c r="L140" s="17">
        <v>1052</v>
      </c>
      <c r="M140" s="91">
        <f>Table6[[#This Row],[BIDEN VOTES]]/C395</f>
        <v>0.13931929545755528</v>
      </c>
      <c r="N140" s="18">
        <v>0.437</v>
      </c>
      <c r="O140" s="92">
        <f>1-(Table6[[#This Row],[NbP]]+Table6[[#This Row],[NbP2]])</f>
        <v>0.68388292941332274</v>
      </c>
    </row>
    <row r="141" spans="1:15" ht="20">
      <c r="A141" s="32" t="s">
        <v>69</v>
      </c>
      <c r="B141" s="33" t="s">
        <v>683</v>
      </c>
      <c r="C141" s="32" t="s">
        <v>1</v>
      </c>
      <c r="D141" s="32" t="s">
        <v>558</v>
      </c>
      <c r="E141" s="32">
        <v>14.90268</v>
      </c>
      <c r="F141" s="31">
        <f t="shared" si="2"/>
        <v>0.39798926049534611</v>
      </c>
      <c r="H141" s="16" t="s">
        <v>455</v>
      </c>
      <c r="I141" s="17">
        <v>16760</v>
      </c>
      <c r="J141" s="91">
        <f>Table6[[#This Row],[TRUMP VOTES]]/C396</f>
        <v>0.33718941756362542</v>
      </c>
      <c r="K141" s="18">
        <v>0.78300000000000003</v>
      </c>
      <c r="L141" s="17">
        <v>4458</v>
      </c>
      <c r="M141" s="91">
        <f>Table6[[#This Row],[BIDEN VOTES]]/C396</f>
        <v>8.9689166079871235E-2</v>
      </c>
      <c r="N141" s="18">
        <v>0.20799999999999999</v>
      </c>
      <c r="O141" s="92">
        <f>1-(Table6[[#This Row],[NbP]]+Table6[[#This Row],[NbP2]])</f>
        <v>0.57312141635650338</v>
      </c>
    </row>
    <row r="142" spans="1:15" ht="20">
      <c r="A142" s="30" t="s">
        <v>69</v>
      </c>
      <c r="B142" s="31" t="s">
        <v>684</v>
      </c>
      <c r="C142" s="30" t="s">
        <v>1</v>
      </c>
      <c r="D142" s="30" t="s">
        <v>558</v>
      </c>
      <c r="E142" s="30">
        <v>21.347570000000001</v>
      </c>
      <c r="F142" s="31">
        <f t="shared" si="2"/>
        <v>0.57010575263460239</v>
      </c>
      <c r="H142" s="16" t="s">
        <v>556</v>
      </c>
      <c r="I142" s="17">
        <v>3521</v>
      </c>
      <c r="J142" s="91">
        <f>Table6[[#This Row],[TRUMP VOTES]]/C397</f>
        <v>0.27047165463204792</v>
      </c>
      <c r="K142" s="18">
        <v>0.79900000000000004</v>
      </c>
      <c r="L142" s="19">
        <v>840</v>
      </c>
      <c r="M142" s="91">
        <f>Table6[[#This Row],[BIDEN VOTES]]/C397</f>
        <v>6.4526040866492551E-2</v>
      </c>
      <c r="N142" s="18">
        <v>0.191</v>
      </c>
      <c r="O142" s="92">
        <f>1-(Table6[[#This Row],[NbP]]+Table6[[#This Row],[NbP2]])</f>
        <v>0.66500230450145947</v>
      </c>
    </row>
    <row r="143" spans="1:15" ht="20">
      <c r="A143" s="32" t="s">
        <v>69</v>
      </c>
      <c r="B143" s="33" t="s">
        <v>685</v>
      </c>
      <c r="C143" s="32" t="s">
        <v>1</v>
      </c>
      <c r="D143" s="32" t="s">
        <v>558</v>
      </c>
      <c r="E143" s="32">
        <v>20</v>
      </c>
      <c r="F143" s="31">
        <f t="shared" si="2"/>
        <v>0.53411770298408889</v>
      </c>
      <c r="H143" s="16" t="s">
        <v>456</v>
      </c>
      <c r="I143" s="17">
        <v>8086</v>
      </c>
      <c r="J143" s="91">
        <f>Table6[[#This Row],[TRUMP VOTES]]/C398</f>
        <v>0.38228063540090773</v>
      </c>
      <c r="K143" s="18">
        <v>0.77800000000000002</v>
      </c>
      <c r="L143" s="17">
        <v>2144</v>
      </c>
      <c r="M143" s="91">
        <f>Table6[[#This Row],[BIDEN VOTES]]/C398</f>
        <v>0.10136157337367625</v>
      </c>
      <c r="N143" s="18">
        <v>0.20599999999999999</v>
      </c>
      <c r="O143" s="92">
        <f>1-(Table6[[#This Row],[NbP]]+Table6[[#This Row],[NbP2]])</f>
        <v>0.51635779122541603</v>
      </c>
    </row>
    <row r="144" spans="1:15" ht="20">
      <c r="A144" s="30" t="s">
        <v>69</v>
      </c>
      <c r="B144" s="31" t="s">
        <v>686</v>
      </c>
      <c r="C144" s="30" t="s">
        <v>1</v>
      </c>
      <c r="D144" s="30" t="s">
        <v>558</v>
      </c>
      <c r="E144" s="30">
        <v>9.3420799999999993</v>
      </c>
      <c r="F144" s="31">
        <f t="shared" si="2"/>
        <v>0.24948851553467985</v>
      </c>
      <c r="H144" s="16" t="s">
        <v>458</v>
      </c>
      <c r="I144" s="17">
        <v>8804</v>
      </c>
      <c r="J144" s="91">
        <f>Table6[[#This Row],[TRUMP VOTES]]/C399</f>
        <v>0.43862096452770027</v>
      </c>
      <c r="K144" s="18">
        <v>0.86399999999999999</v>
      </c>
      <c r="L144" s="17">
        <v>1333</v>
      </c>
      <c r="M144" s="91">
        <f>Table6[[#This Row],[BIDEN VOTES]]/C399</f>
        <v>6.6410920685532088E-2</v>
      </c>
      <c r="N144" s="18">
        <v>0.13100000000000001</v>
      </c>
      <c r="O144" s="92">
        <f>1-(Table6[[#This Row],[NbP]]+Table6[[#This Row],[NbP2]])</f>
        <v>0.49496811478676761</v>
      </c>
    </row>
    <row r="145" spans="1:15" ht="20">
      <c r="A145" s="32" t="s">
        <v>69</v>
      </c>
      <c r="B145" s="33" t="s">
        <v>687</v>
      </c>
      <c r="C145" s="32" t="s">
        <v>1</v>
      </c>
      <c r="D145" s="32" t="s">
        <v>558</v>
      </c>
      <c r="E145" s="32">
        <v>9.0068699999999993</v>
      </c>
      <c r="F145" s="31">
        <f t="shared" si="2"/>
        <v>0.24053643577381503</v>
      </c>
      <c r="H145" s="16" t="s">
        <v>459</v>
      </c>
      <c r="I145" s="17">
        <v>6255</v>
      </c>
      <c r="J145" s="91">
        <f>Table6[[#This Row],[TRUMP VOTES]]/C400</f>
        <v>0.36421334575521136</v>
      </c>
      <c r="K145" s="18">
        <v>0.77400000000000002</v>
      </c>
      <c r="L145" s="17">
        <v>1750</v>
      </c>
      <c r="M145" s="91">
        <f>Table6[[#This Row],[BIDEN VOTES]]/C400</f>
        <v>0.10189821823686969</v>
      </c>
      <c r="N145" s="18">
        <v>0.216</v>
      </c>
      <c r="O145" s="92">
        <f>1-(Table6[[#This Row],[NbP]]+Table6[[#This Row],[NbP2]])</f>
        <v>0.53388843600791902</v>
      </c>
    </row>
    <row r="146" spans="1:15" ht="20">
      <c r="A146" s="30" t="s">
        <v>69</v>
      </c>
      <c r="B146" s="31" t="s">
        <v>688</v>
      </c>
      <c r="C146" s="30" t="s">
        <v>1</v>
      </c>
      <c r="D146" s="30" t="s">
        <v>558</v>
      </c>
      <c r="E146" s="30">
        <v>5.0581699999999996</v>
      </c>
      <c r="F146" s="31">
        <f t="shared" si="2"/>
        <v>0.13508290708515144</v>
      </c>
      <c r="H146" s="16" t="s">
        <v>460</v>
      </c>
      <c r="I146" s="17">
        <v>7523</v>
      </c>
      <c r="J146" s="91">
        <f>Table6[[#This Row],[TRUMP VOTES]]/C401</f>
        <v>0.43422799422799424</v>
      </c>
      <c r="K146" s="18">
        <v>0.86799999999999999</v>
      </c>
      <c r="L146" s="17">
        <v>1072</v>
      </c>
      <c r="M146" s="91">
        <f>Table6[[#This Row],[BIDEN VOTES]]/C401</f>
        <v>6.1875901875901876E-2</v>
      </c>
      <c r="N146" s="18">
        <v>0.124</v>
      </c>
      <c r="O146" s="92">
        <f>1-(Table6[[#This Row],[NbP]]+Table6[[#This Row],[NbP2]])</f>
        <v>0.50389610389610384</v>
      </c>
    </row>
    <row r="147" spans="1:15" ht="20">
      <c r="A147" s="32" t="s">
        <v>69</v>
      </c>
      <c r="B147" s="33" t="s">
        <v>689</v>
      </c>
      <c r="C147" s="32" t="s">
        <v>1</v>
      </c>
      <c r="D147" s="32" t="s">
        <v>558</v>
      </c>
      <c r="E147" s="32">
        <v>8.8823399999999992</v>
      </c>
      <c r="F147" s="31">
        <f t="shared" si="2"/>
        <v>0.2372107518961846</v>
      </c>
      <c r="H147" s="16" t="s">
        <v>461</v>
      </c>
      <c r="I147" s="17">
        <v>23302</v>
      </c>
      <c r="J147" s="91">
        <f>Table6[[#This Row],[TRUMP VOTES]]/C402</f>
        <v>0.27040952502523991</v>
      </c>
      <c r="K147" s="18">
        <v>0.79400000000000004</v>
      </c>
      <c r="L147" s="17">
        <v>5785</v>
      </c>
      <c r="M147" s="91">
        <f>Table6[[#This Row],[BIDEN VOTES]]/C402</f>
        <v>6.7132396458287405E-2</v>
      </c>
      <c r="N147" s="18">
        <v>0.19700000000000001</v>
      </c>
      <c r="O147" s="92">
        <f>1-(Table6[[#This Row],[NbP]]+Table6[[#This Row],[NbP2]])</f>
        <v>0.66245807851647265</v>
      </c>
    </row>
    <row r="148" spans="1:15" ht="20">
      <c r="A148" s="30" t="s">
        <v>69</v>
      </c>
      <c r="B148" s="31" t="s">
        <v>690</v>
      </c>
      <c r="C148" s="30" t="s">
        <v>1</v>
      </c>
      <c r="D148" s="30" t="s">
        <v>558</v>
      </c>
      <c r="E148" s="30">
        <v>15.01155</v>
      </c>
      <c r="F148" s="31">
        <f t="shared" si="2"/>
        <v>0.40089673021153999</v>
      </c>
      <c r="H148" s="16" t="s">
        <v>462</v>
      </c>
      <c r="I148" s="17">
        <v>6789</v>
      </c>
      <c r="J148" s="91">
        <f>Table6[[#This Row],[TRUMP VOTES]]/C403</f>
        <v>0.29057524396507445</v>
      </c>
      <c r="K148" s="18">
        <v>0.746</v>
      </c>
      <c r="L148" s="17">
        <v>2213</v>
      </c>
      <c r="M148" s="91">
        <f>Table6[[#This Row],[BIDEN VOTES]]/C403</f>
        <v>9.4718370142098954E-2</v>
      </c>
      <c r="N148" s="18">
        <v>0.24299999999999999</v>
      </c>
      <c r="O148" s="92">
        <f>1-(Table6[[#This Row],[NbP]]+Table6[[#This Row],[NbP2]])</f>
        <v>0.61470638589282656</v>
      </c>
    </row>
    <row r="149" spans="1:15" ht="20">
      <c r="A149" s="32" t="s">
        <v>69</v>
      </c>
      <c r="B149" s="33" t="s">
        <v>691</v>
      </c>
      <c r="C149" s="32" t="s">
        <v>1</v>
      </c>
      <c r="D149" s="32" t="s">
        <v>558</v>
      </c>
      <c r="E149" s="32">
        <v>4.4101400000000002</v>
      </c>
      <c r="F149" s="31">
        <f t="shared" si="2"/>
        <v>0.1177766923319125</v>
      </c>
      <c r="H149" s="16" t="s">
        <v>463</v>
      </c>
      <c r="I149" s="17">
        <v>1205</v>
      </c>
      <c r="J149" s="91">
        <f>Table6[[#This Row],[TRUMP VOTES]]/C404</f>
        <v>0.3650408966979703</v>
      </c>
      <c r="K149" s="18">
        <v>0.89100000000000001</v>
      </c>
      <c r="L149" s="19">
        <v>131</v>
      </c>
      <c r="M149" s="91">
        <f>Table6[[#This Row],[BIDEN VOTES]]/C404</f>
        <v>3.9684943956376853E-2</v>
      </c>
      <c r="N149" s="18">
        <v>9.7000000000000003E-2</v>
      </c>
      <c r="O149" s="92">
        <f>1-(Table6[[#This Row],[NbP]]+Table6[[#This Row],[NbP2]])</f>
        <v>0.59527415934565286</v>
      </c>
    </row>
    <row r="150" spans="1:15" ht="20">
      <c r="A150" s="30" t="s">
        <v>69</v>
      </c>
      <c r="B150" s="31" t="s">
        <v>692</v>
      </c>
      <c r="C150" s="30" t="s">
        <v>1</v>
      </c>
      <c r="D150" s="30" t="s">
        <v>558</v>
      </c>
      <c r="E150" s="30">
        <v>16.727869999999999</v>
      </c>
      <c r="F150" s="31">
        <f t="shared" si="2"/>
        <v>0.44673257501082253</v>
      </c>
      <c r="H150" s="16" t="s">
        <v>464</v>
      </c>
      <c r="I150" s="17">
        <v>4199</v>
      </c>
      <c r="J150" s="91">
        <f>Table6[[#This Row],[TRUMP VOTES]]/C405</f>
        <v>0.3448870636550308</v>
      </c>
      <c r="K150" s="18">
        <v>0.83099999999999996</v>
      </c>
      <c r="L150" s="19">
        <v>819</v>
      </c>
      <c r="M150" s="91">
        <f>Table6[[#This Row],[BIDEN VOTES]]/C405</f>
        <v>6.7268993839835728E-2</v>
      </c>
      <c r="N150" s="18">
        <v>0.16200000000000001</v>
      </c>
      <c r="O150" s="92">
        <f>1-(Table6[[#This Row],[NbP]]+Table6[[#This Row],[NbP2]])</f>
        <v>0.5878439425051335</v>
      </c>
    </row>
    <row r="151" spans="1:15" ht="20">
      <c r="A151" s="32" t="s">
        <v>69</v>
      </c>
      <c r="B151" s="33" t="s">
        <v>693</v>
      </c>
      <c r="C151" s="32" t="s">
        <v>1</v>
      </c>
      <c r="D151" s="32" t="s">
        <v>558</v>
      </c>
      <c r="E151" s="32">
        <v>33.428840000000001</v>
      </c>
      <c r="F151" s="31">
        <f t="shared" si="2"/>
        <v>0.89274676171113154</v>
      </c>
      <c r="H151" s="16" t="s">
        <v>465</v>
      </c>
      <c r="I151" s="17">
        <v>10079</v>
      </c>
      <c r="J151" s="91">
        <f>Table6[[#This Row],[TRUMP VOTES]]/C406</f>
        <v>0.4698396419914227</v>
      </c>
      <c r="K151" s="18">
        <v>0.79600000000000004</v>
      </c>
      <c r="L151" s="17">
        <v>2465</v>
      </c>
      <c r="M151" s="91">
        <f>Table6[[#This Row],[BIDEN VOTES]]/C406</f>
        <v>0.11490770091366773</v>
      </c>
      <c r="N151" s="18">
        <v>0.19500000000000001</v>
      </c>
      <c r="O151" s="92">
        <f>1-(Table6[[#This Row],[NbP]]+Table6[[#This Row],[NbP2]])</f>
        <v>0.41525265709490955</v>
      </c>
    </row>
    <row r="152" spans="1:15" ht="20">
      <c r="A152" s="30" t="s">
        <v>69</v>
      </c>
      <c r="B152" s="31" t="s">
        <v>694</v>
      </c>
      <c r="C152" s="30" t="s">
        <v>1</v>
      </c>
      <c r="D152" s="30" t="s">
        <v>558</v>
      </c>
      <c r="E152" s="30">
        <v>0</v>
      </c>
      <c r="F152" s="31">
        <f t="shared" si="2"/>
        <v>0</v>
      </c>
      <c r="H152" s="16" t="s">
        <v>466</v>
      </c>
      <c r="I152" s="19">
        <v>60</v>
      </c>
      <c r="J152" s="91">
        <f>Table6[[#This Row],[TRUMP VOTES]]/C407</f>
        <v>0.51282051282051277</v>
      </c>
      <c r="K152" s="18">
        <v>0.90900000000000003</v>
      </c>
      <c r="L152" s="19">
        <v>4</v>
      </c>
      <c r="M152" s="91">
        <f>Table6[[#This Row],[BIDEN VOTES]]/C407</f>
        <v>3.4188034188034191E-2</v>
      </c>
      <c r="N152" s="18">
        <v>6.0999999999999999E-2</v>
      </c>
      <c r="O152" s="92">
        <f>1-(Table6[[#This Row],[NbP]]+Table6[[#This Row],[NbP2]])</f>
        <v>0.45299145299145305</v>
      </c>
    </row>
    <row r="153" spans="1:15" ht="20">
      <c r="A153" s="32" t="s">
        <v>69</v>
      </c>
      <c r="B153" s="33" t="s">
        <v>695</v>
      </c>
      <c r="C153" s="32" t="s">
        <v>1</v>
      </c>
      <c r="D153" s="32" t="s">
        <v>558</v>
      </c>
      <c r="E153" s="32">
        <v>12.79494</v>
      </c>
      <c r="F153" s="31">
        <f t="shared" si="2"/>
        <v>0.34170019813096192</v>
      </c>
      <c r="H153" s="16" t="s">
        <v>467</v>
      </c>
      <c r="I153" s="17">
        <v>78861</v>
      </c>
      <c r="J153" s="91">
        <f>Table6[[#This Row],[TRUMP VOTES]]/C408</f>
        <v>0.2557167501102493</v>
      </c>
      <c r="K153" s="18">
        <v>0.65300000000000002</v>
      </c>
      <c r="L153" s="17">
        <v>40017</v>
      </c>
      <c r="M153" s="91">
        <f>Table6[[#This Row],[BIDEN VOTES]]/C408</f>
        <v>0.12976017536122855</v>
      </c>
      <c r="N153" s="18">
        <v>0.33100000000000002</v>
      </c>
      <c r="O153" s="92">
        <f>1-(Table6[[#This Row],[NbP]]+Table6[[#This Row],[NbP2]])</f>
        <v>0.61452307452852217</v>
      </c>
    </row>
    <row r="154" spans="1:15" ht="20">
      <c r="A154" s="30" t="s">
        <v>69</v>
      </c>
      <c r="B154" s="31" t="s">
        <v>696</v>
      </c>
      <c r="C154" s="30" t="s">
        <v>1</v>
      </c>
      <c r="D154" s="30" t="s">
        <v>558</v>
      </c>
      <c r="E154" s="30">
        <v>3.7147100000000002</v>
      </c>
      <c r="F154" s="31">
        <f t="shared" si="2"/>
        <v>9.9204618622601257E-2</v>
      </c>
      <c r="H154" s="16" t="s">
        <v>468</v>
      </c>
      <c r="I154" s="17">
        <v>1853</v>
      </c>
      <c r="J154" s="91">
        <f>Table6[[#This Row],[TRUMP VOTES]]/C409</f>
        <v>0.31481481481481483</v>
      </c>
      <c r="K154" s="18">
        <v>0.80800000000000005</v>
      </c>
      <c r="L154" s="19">
        <v>428</v>
      </c>
      <c r="M154" s="91">
        <f>Table6[[#This Row],[BIDEN VOTES]]/C409</f>
        <v>7.2714916751613998E-2</v>
      </c>
      <c r="N154" s="18">
        <v>0.187</v>
      </c>
      <c r="O154" s="92">
        <f>1-(Table6[[#This Row],[NbP]]+Table6[[#This Row],[NbP2]])</f>
        <v>0.61247026843357122</v>
      </c>
    </row>
    <row r="155" spans="1:15" ht="20">
      <c r="A155" s="32" t="s">
        <v>69</v>
      </c>
      <c r="B155" s="33" t="s">
        <v>697</v>
      </c>
      <c r="C155" s="32" t="s">
        <v>1</v>
      </c>
      <c r="D155" s="32" t="s">
        <v>558</v>
      </c>
      <c r="E155" s="32">
        <v>13.58412</v>
      </c>
      <c r="F155" s="31">
        <f t="shared" si="2"/>
        <v>0.3627759485730111</v>
      </c>
      <c r="H155" s="16" t="s">
        <v>226</v>
      </c>
      <c r="I155" s="17">
        <v>4169</v>
      </c>
      <c r="J155" s="91">
        <f>Table6[[#This Row],[TRUMP VOTES]]/C410</f>
        <v>0.29094842626840672</v>
      </c>
      <c r="K155" s="18">
        <v>0.78700000000000003</v>
      </c>
      <c r="L155" s="17">
        <v>1088</v>
      </c>
      <c r="M155" s="91">
        <f>Table6[[#This Row],[BIDEN VOTES]]/C410</f>
        <v>7.5929932305115494E-2</v>
      </c>
      <c r="N155" s="18">
        <v>0.20499999999999999</v>
      </c>
      <c r="O155" s="92">
        <f>1-(Table6[[#This Row],[NbP]]+Table6[[#This Row],[NbP2]])</f>
        <v>0.63312164142647775</v>
      </c>
    </row>
    <row r="156" spans="1:15" ht="20">
      <c r="A156" s="30" t="s">
        <v>69</v>
      </c>
      <c r="B156" s="31" t="s">
        <v>698</v>
      </c>
      <c r="C156" s="30" t="s">
        <v>1</v>
      </c>
      <c r="D156" s="30" t="s">
        <v>558</v>
      </c>
      <c r="E156" s="30">
        <v>18.611809999999998</v>
      </c>
      <c r="F156" s="31">
        <f t="shared" si="2"/>
        <v>0.49704486027881473</v>
      </c>
      <c r="H156" s="16" t="s">
        <v>227</v>
      </c>
      <c r="I156" s="17">
        <v>3470</v>
      </c>
      <c r="J156" s="91">
        <f>Table6[[#This Row],[TRUMP VOTES]]/C411</f>
        <v>0.34745168719335134</v>
      </c>
      <c r="K156" s="18">
        <v>0.71299999999999997</v>
      </c>
      <c r="L156" s="17">
        <v>1339</v>
      </c>
      <c r="M156" s="91">
        <f>Table6[[#This Row],[BIDEN VOTES]]/C411</f>
        <v>0.13407429658556122</v>
      </c>
      <c r="N156" s="18">
        <v>0.27500000000000002</v>
      </c>
      <c r="O156" s="92">
        <f>1-(Table6[[#This Row],[NbP]]+Table6[[#This Row],[NbP2]])</f>
        <v>0.51847401622108746</v>
      </c>
    </row>
    <row r="157" spans="1:15" ht="20">
      <c r="A157" s="32" t="s">
        <v>69</v>
      </c>
      <c r="B157" s="33" t="s">
        <v>699</v>
      </c>
      <c r="C157" s="32" t="s">
        <v>1</v>
      </c>
      <c r="D157" s="32" t="s">
        <v>558</v>
      </c>
      <c r="E157" s="32">
        <v>24.390239999999999</v>
      </c>
      <c r="F157" s="31">
        <f t="shared" si="2"/>
        <v>0.65136294820153218</v>
      </c>
      <c r="H157" s="16" t="s">
        <v>469</v>
      </c>
      <c r="I157" s="17">
        <v>1857</v>
      </c>
      <c r="J157" s="91">
        <f>Table6[[#This Row],[TRUMP VOTES]]/C412</f>
        <v>0.32716701902748413</v>
      </c>
      <c r="K157" s="18">
        <v>0.86</v>
      </c>
      <c r="L157" s="19">
        <v>288</v>
      </c>
      <c r="M157" s="91">
        <f>Table6[[#This Row],[BIDEN VOTES]]/C412</f>
        <v>5.0739957716701901E-2</v>
      </c>
      <c r="N157" s="18">
        <v>0.13300000000000001</v>
      </c>
      <c r="O157" s="92">
        <f>1-(Table6[[#This Row],[NbP]]+Table6[[#This Row],[NbP2]])</f>
        <v>0.62209302325581395</v>
      </c>
    </row>
    <row r="158" spans="1:15" ht="20">
      <c r="A158" s="30" t="s">
        <v>69</v>
      </c>
      <c r="B158" s="31" t="s">
        <v>125</v>
      </c>
      <c r="C158" s="30" t="s">
        <v>1</v>
      </c>
      <c r="D158" s="30" t="s">
        <v>558</v>
      </c>
      <c r="E158" s="30">
        <v>4.9291400000000003</v>
      </c>
      <c r="F158" s="31">
        <f t="shared" si="2"/>
        <v>0.13163704672434962</v>
      </c>
      <c r="H158" s="16" t="s">
        <v>470</v>
      </c>
      <c r="I158" s="17">
        <v>1991</v>
      </c>
      <c r="J158" s="91">
        <f>Table6[[#This Row],[TRUMP VOTES]]/C413</f>
        <v>0.46869114877589452</v>
      </c>
      <c r="K158" s="18">
        <v>0.80600000000000005</v>
      </c>
      <c r="L158" s="19">
        <v>457</v>
      </c>
      <c r="M158" s="91">
        <f>Table6[[#This Row],[BIDEN VOTES]]/C413</f>
        <v>0.10758003766478343</v>
      </c>
      <c r="N158" s="18">
        <v>0.185</v>
      </c>
      <c r="O158" s="92">
        <f>1-(Table6[[#This Row],[NbP]]+Table6[[#This Row],[NbP2]])</f>
        <v>0.42372881355932202</v>
      </c>
    </row>
    <row r="159" spans="1:15" ht="20">
      <c r="A159" s="32" t="s">
        <v>69</v>
      </c>
      <c r="B159" s="33" t="s">
        <v>126</v>
      </c>
      <c r="C159" s="32" t="s">
        <v>1</v>
      </c>
      <c r="D159" s="32" t="s">
        <v>558</v>
      </c>
      <c r="E159" s="32">
        <v>23.76033</v>
      </c>
      <c r="F159" s="31">
        <f t="shared" si="2"/>
        <v>0.6345406440871969</v>
      </c>
      <c r="H159" s="16" t="s">
        <v>471</v>
      </c>
      <c r="I159" s="17">
        <v>9845</v>
      </c>
      <c r="J159" s="91">
        <f>Table6[[#This Row],[TRUMP VOTES]]/C414</f>
        <v>0.26759261775977822</v>
      </c>
      <c r="K159" s="18">
        <v>0.71699999999999997</v>
      </c>
      <c r="L159" s="17">
        <v>3733</v>
      </c>
      <c r="M159" s="91">
        <f>Table6[[#This Row],[BIDEN VOTES]]/C414</f>
        <v>0.10146503220896415</v>
      </c>
      <c r="N159" s="18">
        <v>0.27200000000000002</v>
      </c>
      <c r="O159" s="92">
        <f>1-(Table6[[#This Row],[NbP]]+Table6[[#This Row],[NbP2]])</f>
        <v>0.63094235003125765</v>
      </c>
    </row>
    <row r="160" spans="1:15" ht="20">
      <c r="A160" s="30" t="s">
        <v>69</v>
      </c>
      <c r="B160" s="31" t="s">
        <v>700</v>
      </c>
      <c r="C160" s="30" t="s">
        <v>1</v>
      </c>
      <c r="D160" s="30" t="s">
        <v>558</v>
      </c>
      <c r="E160" s="30">
        <v>6.5437200000000004</v>
      </c>
      <c r="F160" s="31">
        <f t="shared" si="2"/>
        <v>0.17475583476855214</v>
      </c>
      <c r="H160" s="16" t="s">
        <v>472</v>
      </c>
      <c r="I160" s="17">
        <v>6881</v>
      </c>
      <c r="J160" s="91">
        <f>Table6[[#This Row],[TRUMP VOTES]]/C415</f>
        <v>0.11843781197287342</v>
      </c>
      <c r="K160" s="18">
        <v>0.44800000000000001</v>
      </c>
      <c r="L160" s="17">
        <v>8332</v>
      </c>
      <c r="M160" s="91">
        <f>Table6[[#This Row],[BIDEN VOTES]]/C415</f>
        <v>0.14341285414299976</v>
      </c>
      <c r="N160" s="18">
        <v>0.54300000000000004</v>
      </c>
      <c r="O160" s="92">
        <f>1-(Table6[[#This Row],[NbP]]+Table6[[#This Row],[NbP2]])</f>
        <v>0.73814933388412685</v>
      </c>
    </row>
    <row r="161" spans="1:15" ht="20">
      <c r="A161" s="32" t="s">
        <v>69</v>
      </c>
      <c r="B161" s="33" t="s">
        <v>701</v>
      </c>
      <c r="C161" s="32" t="s">
        <v>1</v>
      </c>
      <c r="D161" s="32" t="s">
        <v>558</v>
      </c>
      <c r="E161" s="32">
        <v>7.9260200000000003</v>
      </c>
      <c r="F161" s="31">
        <f t="shared" si="2"/>
        <v>0.21167137981029743</v>
      </c>
      <c r="H161" s="16" t="s">
        <v>473</v>
      </c>
      <c r="I161" s="17">
        <v>2904</v>
      </c>
      <c r="J161" s="91">
        <f>Table6[[#This Row],[TRUMP VOTES]]/C416</f>
        <v>0.364366373902133</v>
      </c>
      <c r="K161" s="18">
        <v>0.84499999999999997</v>
      </c>
      <c r="L161" s="19">
        <v>490</v>
      </c>
      <c r="M161" s="91">
        <f>Table6[[#This Row],[BIDEN VOTES]]/C416</f>
        <v>6.148055207026349E-2</v>
      </c>
      <c r="N161" s="18">
        <v>0.14299999999999999</v>
      </c>
      <c r="O161" s="92">
        <f>1-(Table6[[#This Row],[NbP]]+Table6[[#This Row],[NbP2]])</f>
        <v>0.57415307402760352</v>
      </c>
    </row>
    <row r="162" spans="1:15" ht="20">
      <c r="A162" s="30" t="s">
        <v>69</v>
      </c>
      <c r="B162" s="31" t="s">
        <v>702</v>
      </c>
      <c r="C162" s="30" t="s">
        <v>1</v>
      </c>
      <c r="D162" s="30" t="s">
        <v>558</v>
      </c>
      <c r="E162" s="30">
        <v>15.66119</v>
      </c>
      <c r="F162" s="31">
        <f t="shared" si="2"/>
        <v>0.41824594143986915</v>
      </c>
      <c r="H162" s="16" t="s">
        <v>474</v>
      </c>
      <c r="I162" s="17">
        <v>59543</v>
      </c>
      <c r="J162" s="91">
        <f>Table6[[#This Row],[TRUMP VOTES]]/C417</f>
        <v>0.2343797358735657</v>
      </c>
      <c r="K162" s="18">
        <v>0.60899999999999999</v>
      </c>
      <c r="L162" s="17">
        <v>36688</v>
      </c>
      <c r="M162" s="91">
        <f>Table6[[#This Row],[BIDEN VOTES]]/C417</f>
        <v>0.14441535948355605</v>
      </c>
      <c r="N162" s="18">
        <v>0.375</v>
      </c>
      <c r="O162" s="92">
        <f>1-(Table6[[#This Row],[NbP]]+Table6[[#This Row],[NbP2]])</f>
        <v>0.62120490464287825</v>
      </c>
    </row>
    <row r="163" spans="1:15" ht="20">
      <c r="A163" s="32" t="s">
        <v>69</v>
      </c>
      <c r="B163" s="33" t="s">
        <v>703</v>
      </c>
      <c r="C163" s="32" t="s">
        <v>1</v>
      </c>
      <c r="D163" s="32" t="s">
        <v>558</v>
      </c>
      <c r="E163" s="32">
        <v>3.58182</v>
      </c>
      <c r="F163" s="31">
        <f t="shared" si="2"/>
        <v>9.5655673545123471E-2</v>
      </c>
      <c r="H163" s="16" t="s">
        <v>475</v>
      </c>
      <c r="I163" s="19">
        <v>460</v>
      </c>
      <c r="J163" s="91">
        <f>Table6[[#This Row],[TRUMP VOTES]]/C418</f>
        <v>0.63535911602209949</v>
      </c>
      <c r="K163" s="18">
        <v>0.89100000000000001</v>
      </c>
      <c r="L163" s="19">
        <v>53</v>
      </c>
      <c r="M163" s="91">
        <f>Table6[[#This Row],[BIDEN VOTES]]/C418</f>
        <v>7.3204419889502756E-2</v>
      </c>
      <c r="N163" s="18">
        <v>0.10299999999999999</v>
      </c>
      <c r="O163" s="92">
        <f>1-(Table6[[#This Row],[NbP]]+Table6[[#This Row],[NbP2]])</f>
        <v>0.29143646408839774</v>
      </c>
    </row>
    <row r="164" spans="1:15" ht="20">
      <c r="A164" s="30" t="s">
        <v>69</v>
      </c>
      <c r="B164" s="31" t="s">
        <v>704</v>
      </c>
      <c r="C164" s="30" t="s">
        <v>1</v>
      </c>
      <c r="D164" s="30" t="s">
        <v>558</v>
      </c>
      <c r="E164" s="30">
        <v>12.61528</v>
      </c>
      <c r="F164" s="31">
        <f t="shared" si="2"/>
        <v>0.33690221880505589</v>
      </c>
      <c r="H164" s="16" t="s">
        <v>476</v>
      </c>
      <c r="I164" s="17">
        <v>15642</v>
      </c>
      <c r="J164" s="91">
        <f>Table6[[#This Row],[TRUMP VOTES]]/C419</f>
        <v>0.30749572431146671</v>
      </c>
      <c r="K164" s="18">
        <v>0.69099999999999995</v>
      </c>
      <c r="L164" s="17">
        <v>6773</v>
      </c>
      <c r="M164" s="91">
        <f>Table6[[#This Row],[BIDEN VOTES]]/C419</f>
        <v>0.13314592384359827</v>
      </c>
      <c r="N164" s="18">
        <v>0.29899999999999999</v>
      </c>
      <c r="O164" s="92">
        <f>1-(Table6[[#This Row],[NbP]]+Table6[[#This Row],[NbP2]])</f>
        <v>0.55935835184493499</v>
      </c>
    </row>
    <row r="165" spans="1:15" ht="20">
      <c r="A165" s="32" t="s">
        <v>69</v>
      </c>
      <c r="B165" s="33" t="s">
        <v>705</v>
      </c>
      <c r="C165" s="32" t="s">
        <v>1</v>
      </c>
      <c r="D165" s="32" t="s">
        <v>558</v>
      </c>
      <c r="E165" s="32">
        <v>21.327010000000001</v>
      </c>
      <c r="F165" s="31">
        <f t="shared" si="2"/>
        <v>0.5695566796359347</v>
      </c>
      <c r="H165" s="16" t="s">
        <v>477</v>
      </c>
      <c r="I165" s="19">
        <v>823</v>
      </c>
      <c r="J165" s="91">
        <f>Table6[[#This Row],[TRUMP VOTES]]/C420</f>
        <v>0.39041745730550287</v>
      </c>
      <c r="K165" s="18">
        <v>0.80100000000000005</v>
      </c>
      <c r="L165" s="19">
        <v>197</v>
      </c>
      <c r="M165" s="91">
        <f>Table6[[#This Row],[BIDEN VOTES]]/C420</f>
        <v>9.3453510436432644E-2</v>
      </c>
      <c r="N165" s="18">
        <v>0.192</v>
      </c>
      <c r="O165" s="92">
        <f>1-(Table6[[#This Row],[NbP]]+Table6[[#This Row],[NbP2]])</f>
        <v>0.5161290322580645</v>
      </c>
    </row>
    <row r="166" spans="1:15" ht="20">
      <c r="A166" s="30" t="s">
        <v>69</v>
      </c>
      <c r="B166" s="31" t="s">
        <v>706</v>
      </c>
      <c r="C166" s="30" t="s">
        <v>1</v>
      </c>
      <c r="D166" s="30" t="s">
        <v>558</v>
      </c>
      <c r="E166" s="30">
        <v>6.4058599999999997</v>
      </c>
      <c r="F166" s="31">
        <f t="shared" si="2"/>
        <v>0.17107416144188278</v>
      </c>
      <c r="H166" s="16" t="s">
        <v>478</v>
      </c>
      <c r="I166" s="17">
        <v>45624</v>
      </c>
      <c r="J166" s="91">
        <f>Table6[[#This Row],[TRUMP VOTES]]/C421</f>
        <v>0.26643618822924819</v>
      </c>
      <c r="K166" s="18">
        <v>0.77500000000000002</v>
      </c>
      <c r="L166" s="17">
        <v>12329</v>
      </c>
      <c r="M166" s="91">
        <f>Table6[[#This Row],[BIDEN VOTES]]/C421</f>
        <v>7.1999205783762954E-2</v>
      </c>
      <c r="N166" s="18">
        <v>0.20899999999999999</v>
      </c>
      <c r="O166" s="92">
        <f>1-(Table6[[#This Row],[NbP]]+Table6[[#This Row],[NbP2]])</f>
        <v>0.66156460598698885</v>
      </c>
    </row>
    <row r="167" spans="1:15" ht="20">
      <c r="A167" s="32" t="s">
        <v>69</v>
      </c>
      <c r="B167" s="33" t="s">
        <v>707</v>
      </c>
      <c r="C167" s="32" t="s">
        <v>1</v>
      </c>
      <c r="D167" s="32" t="s">
        <v>558</v>
      </c>
      <c r="E167" s="32">
        <v>12.368690000000001</v>
      </c>
      <c r="F167" s="31">
        <f t="shared" si="2"/>
        <v>0.33031681458611356</v>
      </c>
      <c r="H167" s="16" t="s">
        <v>479</v>
      </c>
      <c r="I167" s="17">
        <v>7984</v>
      </c>
      <c r="J167" s="91">
        <f>Table6[[#This Row],[TRUMP VOTES]]/C422</f>
        <v>0.32197443239101503</v>
      </c>
      <c r="K167" s="18">
        <v>0.755</v>
      </c>
      <c r="L167" s="17">
        <v>2496</v>
      </c>
      <c r="M167" s="91">
        <f>Table6[[#This Row],[BIDEN VOTES]]/C422</f>
        <v>0.10065733758115901</v>
      </c>
      <c r="N167" s="18">
        <v>0.23599999999999999</v>
      </c>
      <c r="O167" s="92">
        <f>1-(Table6[[#This Row],[NbP]]+Table6[[#This Row],[NbP2]])</f>
        <v>0.577368230027826</v>
      </c>
    </row>
    <row r="168" spans="1:15" ht="20">
      <c r="A168" s="30" t="s">
        <v>69</v>
      </c>
      <c r="B168" s="31" t="s">
        <v>708</v>
      </c>
      <c r="C168" s="30" t="s">
        <v>1</v>
      </c>
      <c r="D168" s="30" t="s">
        <v>558</v>
      </c>
      <c r="E168" s="30">
        <v>12.633620000000001</v>
      </c>
      <c r="F168" s="31">
        <f t="shared" si="2"/>
        <v>0.3373920047386923</v>
      </c>
      <c r="H168" s="16" t="s">
        <v>480</v>
      </c>
      <c r="I168" s="17">
        <v>2217</v>
      </c>
      <c r="J168" s="91">
        <f>Table6[[#This Row],[TRUMP VOTES]]/C423</f>
        <v>0.45458273528808696</v>
      </c>
      <c r="K168" s="18">
        <v>0.88500000000000001</v>
      </c>
      <c r="L168" s="19">
        <v>271</v>
      </c>
      <c r="M168" s="91">
        <f>Table6[[#This Row],[BIDEN VOTES]]/C423</f>
        <v>5.5566946893582117E-2</v>
      </c>
      <c r="N168" s="18">
        <v>0.108</v>
      </c>
      <c r="O168" s="92">
        <f>1-(Table6[[#This Row],[NbP]]+Table6[[#This Row],[NbP2]])</f>
        <v>0.48985031781833088</v>
      </c>
    </row>
    <row r="169" spans="1:15" ht="20">
      <c r="A169" s="32" t="s">
        <v>69</v>
      </c>
      <c r="B169" s="33" t="s">
        <v>709</v>
      </c>
      <c r="C169" s="32" t="s">
        <v>1</v>
      </c>
      <c r="D169" s="32" t="s">
        <v>558</v>
      </c>
      <c r="E169" s="32">
        <v>34.00638</v>
      </c>
      <c r="F169" s="31">
        <f t="shared" si="2"/>
        <v>0.90817047862020306</v>
      </c>
      <c r="H169" s="16" t="s">
        <v>481</v>
      </c>
      <c r="I169" s="17">
        <v>2170</v>
      </c>
      <c r="J169" s="91">
        <f>Table6[[#This Row],[TRUMP VOTES]]/C424</f>
        <v>0.26283914728682173</v>
      </c>
      <c r="K169" s="18">
        <v>0.84099999999999997</v>
      </c>
      <c r="L169" s="19">
        <v>397</v>
      </c>
      <c r="M169" s="91">
        <f>Table6[[#This Row],[BIDEN VOTES]]/C424</f>
        <v>4.8086240310077522E-2</v>
      </c>
      <c r="N169" s="18">
        <v>0.154</v>
      </c>
      <c r="O169" s="92">
        <f>1-(Table6[[#This Row],[NbP]]+Table6[[#This Row],[NbP2]])</f>
        <v>0.68907461240310075</v>
      </c>
    </row>
    <row r="170" spans="1:15" ht="20">
      <c r="A170" s="30" t="s">
        <v>69</v>
      </c>
      <c r="B170" s="31" t="s">
        <v>710</v>
      </c>
      <c r="C170" s="30" t="s">
        <v>1</v>
      </c>
      <c r="D170" s="30" t="s">
        <v>558</v>
      </c>
      <c r="E170" s="30">
        <v>27.109850000000002</v>
      </c>
      <c r="F170" s="31">
        <f t="shared" si="2"/>
        <v>0.72399254051216022</v>
      </c>
      <c r="H170" s="16" t="s">
        <v>482</v>
      </c>
      <c r="I170" s="17">
        <v>8615</v>
      </c>
      <c r="J170" s="91">
        <f>Table6[[#This Row],[TRUMP VOTES]]/C425</f>
        <v>0.43864562118126271</v>
      </c>
      <c r="K170" s="18">
        <v>0.878</v>
      </c>
      <c r="L170" s="17">
        <v>1097</v>
      </c>
      <c r="M170" s="91">
        <f>Table6[[#This Row],[BIDEN VOTES]]/C425</f>
        <v>5.585539714867617E-2</v>
      </c>
      <c r="N170" s="18">
        <v>0.112</v>
      </c>
      <c r="O170" s="92">
        <f>1-(Table6[[#This Row],[NbP]]+Table6[[#This Row],[NbP2]])</f>
        <v>0.50549898167006113</v>
      </c>
    </row>
    <row r="171" spans="1:15" ht="20">
      <c r="A171" s="32" t="s">
        <v>69</v>
      </c>
      <c r="B171" s="33" t="s">
        <v>133</v>
      </c>
      <c r="C171" s="32" t="s">
        <v>1</v>
      </c>
      <c r="D171" s="32" t="s">
        <v>558</v>
      </c>
      <c r="E171" s="32">
        <v>5.4100400000000004</v>
      </c>
      <c r="F171" s="31">
        <f t="shared" si="2"/>
        <v>0.14447990689260204</v>
      </c>
      <c r="H171" s="16" t="s">
        <v>232</v>
      </c>
      <c r="I171" s="17">
        <v>193382</v>
      </c>
      <c r="J171" s="91">
        <f>Table6[[#This Row],[TRUMP VOTES]]/C426</f>
        <v>0.32766169423980157</v>
      </c>
      <c r="K171" s="18">
        <v>0.71199999999999997</v>
      </c>
      <c r="L171" s="17">
        <v>74377</v>
      </c>
      <c r="M171" s="91">
        <f>Table6[[#This Row],[BIDEN VOTES]]/C426</f>
        <v>0.12602255552468028</v>
      </c>
      <c r="N171" s="18">
        <v>0.27400000000000002</v>
      </c>
      <c r="O171" s="92">
        <f>1-(Table6[[#This Row],[NbP]]+Table6[[#This Row],[NbP2]])</f>
        <v>0.54631575023551815</v>
      </c>
    </row>
    <row r="172" spans="1:15" ht="20">
      <c r="A172" s="30" t="s">
        <v>69</v>
      </c>
      <c r="B172" s="31" t="s">
        <v>134</v>
      </c>
      <c r="C172" s="30" t="s">
        <v>1</v>
      </c>
      <c r="D172" s="30" t="s">
        <v>558</v>
      </c>
      <c r="E172" s="30">
        <v>8.4007000000000005</v>
      </c>
      <c r="F172" s="31">
        <f t="shared" si="2"/>
        <v>0.22434812937292181</v>
      </c>
      <c r="H172" s="16" t="s">
        <v>233</v>
      </c>
      <c r="I172" s="17">
        <v>4359</v>
      </c>
      <c r="J172" s="91">
        <f>Table6[[#This Row],[TRUMP VOTES]]/C427</f>
        <v>0.20591430865888799</v>
      </c>
      <c r="K172" s="18">
        <v>0.79100000000000004</v>
      </c>
      <c r="L172" s="17">
        <v>1062</v>
      </c>
      <c r="M172" s="91">
        <f>Table6[[#This Row],[BIDEN VOTES]]/C427</f>
        <v>5.0167698049033968E-2</v>
      </c>
      <c r="N172" s="18">
        <v>0.193</v>
      </c>
      <c r="O172" s="92">
        <f>1-(Table6[[#This Row],[NbP]]+Table6[[#This Row],[NbP2]])</f>
        <v>0.74391799329207808</v>
      </c>
    </row>
    <row r="173" spans="1:15" ht="20">
      <c r="A173" s="32" t="s">
        <v>69</v>
      </c>
      <c r="B173" s="33" t="s">
        <v>711</v>
      </c>
      <c r="C173" s="32" t="s">
        <v>1</v>
      </c>
      <c r="D173" s="32" t="s">
        <v>558</v>
      </c>
      <c r="E173" s="32">
        <v>16.97364</v>
      </c>
      <c r="F173" s="31">
        <f t="shared" si="2"/>
        <v>0.45329608040394254</v>
      </c>
      <c r="H173" s="16" t="s">
        <v>483</v>
      </c>
      <c r="I173" s="17">
        <v>3872</v>
      </c>
      <c r="J173" s="91">
        <f>Table6[[#This Row],[TRUMP VOTES]]/C428</f>
        <v>0.31334466294408025</v>
      </c>
      <c r="K173" s="18">
        <v>0.69299999999999995</v>
      </c>
      <c r="L173" s="17">
        <v>1669</v>
      </c>
      <c r="M173" s="91">
        <f>Table6[[#This Row],[BIDEN VOTES]]/C428</f>
        <v>0.13506514526179494</v>
      </c>
      <c r="N173" s="18">
        <v>0.29899999999999999</v>
      </c>
      <c r="O173" s="92">
        <f>1-(Table6[[#This Row],[NbP]]+Table6[[#This Row],[NbP2]])</f>
        <v>0.55159019179412483</v>
      </c>
    </row>
    <row r="174" spans="1:15" ht="20">
      <c r="A174" s="30" t="s">
        <v>69</v>
      </c>
      <c r="B174" s="31" t="s">
        <v>712</v>
      </c>
      <c r="C174" s="30" t="s">
        <v>1</v>
      </c>
      <c r="D174" s="30" t="s">
        <v>558</v>
      </c>
      <c r="E174" s="30">
        <v>0</v>
      </c>
      <c r="F174" s="31">
        <f t="shared" si="2"/>
        <v>0</v>
      </c>
      <c r="H174" s="16" t="s">
        <v>484</v>
      </c>
      <c r="I174" s="19">
        <v>604</v>
      </c>
      <c r="J174" s="91">
        <f>Table6[[#This Row],[TRUMP VOTES]]/C429</f>
        <v>0.44346549192364171</v>
      </c>
      <c r="K174" s="18">
        <v>0.92600000000000005</v>
      </c>
      <c r="L174" s="19">
        <v>46</v>
      </c>
      <c r="M174" s="91">
        <f>Table6[[#This Row],[BIDEN VOTES]]/C429</f>
        <v>3.3773861967694566E-2</v>
      </c>
      <c r="N174" s="18">
        <v>7.0999999999999994E-2</v>
      </c>
      <c r="O174" s="92">
        <f>1-(Table6[[#This Row],[NbP]]+Table6[[#This Row],[NbP2]])</f>
        <v>0.5227606461086638</v>
      </c>
    </row>
    <row r="175" spans="1:15" ht="20">
      <c r="A175" s="32" t="s">
        <v>69</v>
      </c>
      <c r="B175" s="33" t="s">
        <v>713</v>
      </c>
      <c r="C175" s="32" t="s">
        <v>1</v>
      </c>
      <c r="D175" s="32" t="s">
        <v>558</v>
      </c>
      <c r="E175" s="32">
        <v>13.538639999999999</v>
      </c>
      <c r="F175" s="31">
        <f t="shared" si="2"/>
        <v>0.36156136491642527</v>
      </c>
      <c r="H175" s="16" t="s">
        <v>485</v>
      </c>
      <c r="I175" s="17">
        <v>17378</v>
      </c>
      <c r="J175" s="91">
        <f>Table6[[#This Row],[TRUMP VOTES]]/C430</f>
        <v>0.26702519975414873</v>
      </c>
      <c r="K175" s="18">
        <v>0.64900000000000002</v>
      </c>
      <c r="L175" s="17">
        <v>9000</v>
      </c>
      <c r="M175" s="91">
        <f>Table6[[#This Row],[BIDEN VOTES]]/C430</f>
        <v>0.13829133374308544</v>
      </c>
      <c r="N175" s="18">
        <v>0.33600000000000002</v>
      </c>
      <c r="O175" s="92">
        <f>1-(Table6[[#This Row],[NbP]]+Table6[[#This Row],[NbP2]])</f>
        <v>0.59468346650276582</v>
      </c>
    </row>
    <row r="176" spans="1:15" ht="20">
      <c r="A176" s="30" t="s">
        <v>69</v>
      </c>
      <c r="B176" s="31" t="s">
        <v>714</v>
      </c>
      <c r="C176" s="30" t="s">
        <v>1</v>
      </c>
      <c r="D176" s="30" t="s">
        <v>558</v>
      </c>
      <c r="E176" s="30">
        <v>11.742190000000001</v>
      </c>
      <c r="F176" s="31">
        <f t="shared" si="2"/>
        <v>0.31358557754013699</v>
      </c>
      <c r="H176" s="16" t="s">
        <v>486</v>
      </c>
      <c r="I176" s="17">
        <v>13800</v>
      </c>
      <c r="J176" s="91">
        <f>Table6[[#This Row],[TRUMP VOTES]]/C431</f>
        <v>0.27892875189489641</v>
      </c>
      <c r="K176" s="18">
        <v>0.72199999999999998</v>
      </c>
      <c r="L176" s="17">
        <v>5101</v>
      </c>
      <c r="M176" s="91">
        <f>Table6[[#This Row],[BIDEN VOTES]]/C431</f>
        <v>0.10310257705912076</v>
      </c>
      <c r="N176" s="18">
        <v>0.26700000000000002</v>
      </c>
      <c r="O176" s="92">
        <f>1-(Table6[[#This Row],[NbP]]+Table6[[#This Row],[NbP2]])</f>
        <v>0.61796867104598285</v>
      </c>
    </row>
    <row r="177" spans="1:15" ht="20">
      <c r="A177" s="32" t="s">
        <v>69</v>
      </c>
      <c r="B177" s="33" t="s">
        <v>715</v>
      </c>
      <c r="C177" s="32" t="s">
        <v>1</v>
      </c>
      <c r="D177" s="32" t="s">
        <v>558</v>
      </c>
      <c r="E177" s="32">
        <v>5.7230100000000004</v>
      </c>
      <c r="F177" s="31">
        <f t="shared" si="2"/>
        <v>0.15283804776774854</v>
      </c>
      <c r="H177" s="16" t="s">
        <v>487</v>
      </c>
      <c r="I177" s="17">
        <v>4882</v>
      </c>
      <c r="J177" s="91">
        <f>Table6[[#This Row],[TRUMP VOTES]]/C432</f>
        <v>0.35407600812300549</v>
      </c>
      <c r="K177" s="18">
        <v>0.80100000000000005</v>
      </c>
      <c r="L177" s="17">
        <v>1173</v>
      </c>
      <c r="M177" s="91">
        <f>Table6[[#This Row],[BIDEN VOTES]]/C432</f>
        <v>8.5073977371627502E-2</v>
      </c>
      <c r="N177" s="18">
        <v>0.192</v>
      </c>
      <c r="O177" s="92">
        <f>1-(Table6[[#This Row],[NbP]]+Table6[[#This Row],[NbP2]])</f>
        <v>0.56085001450536698</v>
      </c>
    </row>
    <row r="178" spans="1:15" ht="20">
      <c r="A178" s="30" t="s">
        <v>69</v>
      </c>
      <c r="B178" s="31" t="s">
        <v>716</v>
      </c>
      <c r="C178" s="30" t="s">
        <v>1</v>
      </c>
      <c r="D178" s="30" t="s">
        <v>558</v>
      </c>
      <c r="E178" s="30">
        <v>26.491710000000001</v>
      </c>
      <c r="F178" s="31">
        <f t="shared" si="2"/>
        <v>0.70748456466603094</v>
      </c>
      <c r="H178" s="16" t="s">
        <v>557</v>
      </c>
      <c r="I178" s="17">
        <v>4131</v>
      </c>
      <c r="J178" s="91">
        <f>Table6[[#This Row],[TRUMP VOTES]]/C433</f>
        <v>0.27722971612643449</v>
      </c>
      <c r="K178" s="18">
        <v>0.77100000000000002</v>
      </c>
      <c r="L178" s="17">
        <v>1162</v>
      </c>
      <c r="M178" s="91">
        <f>Table6[[#This Row],[BIDEN VOTES]]/C433</f>
        <v>7.7981343533991013E-2</v>
      </c>
      <c r="N178" s="18">
        <v>0.217</v>
      </c>
      <c r="O178" s="92">
        <f>1-(Table6[[#This Row],[NbP]]+Table6[[#This Row],[NbP2]])</f>
        <v>0.64478894033957457</v>
      </c>
    </row>
    <row r="179" spans="1:15" ht="20">
      <c r="A179" s="32" t="s">
        <v>69</v>
      </c>
      <c r="B179" s="33" t="s">
        <v>717</v>
      </c>
      <c r="C179" s="32" t="s">
        <v>1</v>
      </c>
      <c r="D179" s="32" t="s">
        <v>558</v>
      </c>
      <c r="E179" s="32">
        <v>12.44383</v>
      </c>
      <c r="F179" s="31">
        <f t="shared" si="2"/>
        <v>0.33232349479622475</v>
      </c>
      <c r="H179" s="16" t="s">
        <v>488</v>
      </c>
      <c r="I179" s="17">
        <v>64617</v>
      </c>
      <c r="J179" s="91">
        <f>Table6[[#This Row],[TRUMP VOTES]]/C434</f>
        <v>0.17842557386283622</v>
      </c>
      <c r="K179" s="18">
        <v>0.50800000000000001</v>
      </c>
      <c r="L179" s="17">
        <v>60925</v>
      </c>
      <c r="M179" s="91">
        <f>Table6[[#This Row],[BIDEN VOTES]]/C434</f>
        <v>0.16823093129661384</v>
      </c>
      <c r="N179" s="18">
        <v>0.47899999999999998</v>
      </c>
      <c r="O179" s="92">
        <f>1-(Table6[[#This Row],[NbP]]+Table6[[#This Row],[NbP2]])</f>
        <v>0.65334349484054988</v>
      </c>
    </row>
    <row r="180" spans="1:15" ht="20">
      <c r="A180" s="30" t="s">
        <v>69</v>
      </c>
      <c r="B180" s="31" t="s">
        <v>718</v>
      </c>
      <c r="C180" s="30" t="s">
        <v>1</v>
      </c>
      <c r="D180" s="30" t="s">
        <v>558</v>
      </c>
      <c r="E180" s="30">
        <v>8.6463900000000002</v>
      </c>
      <c r="F180" s="31">
        <f t="shared" si="2"/>
        <v>0.23090949829522983</v>
      </c>
      <c r="H180" s="16" t="s">
        <v>489</v>
      </c>
      <c r="I180" s="17">
        <v>2812</v>
      </c>
      <c r="J180" s="91">
        <f>Table6[[#This Row],[TRUMP VOTES]]/C435</f>
        <v>0.28383970929645708</v>
      </c>
      <c r="K180" s="18">
        <v>0.89200000000000002</v>
      </c>
      <c r="L180" s="19">
        <v>302</v>
      </c>
      <c r="M180" s="91">
        <f>Table6[[#This Row],[BIDEN VOTES]]/C435</f>
        <v>3.0483496517613808E-2</v>
      </c>
      <c r="N180" s="18">
        <v>9.6000000000000002E-2</v>
      </c>
      <c r="O180" s="92">
        <f>1-(Table6[[#This Row],[NbP]]+Table6[[#This Row],[NbP2]])</f>
        <v>0.68567679418592919</v>
      </c>
    </row>
    <row r="181" spans="1:15" ht="20">
      <c r="A181" s="32" t="s">
        <v>69</v>
      </c>
      <c r="B181" s="33" t="s">
        <v>719</v>
      </c>
      <c r="C181" s="32" t="s">
        <v>1</v>
      </c>
      <c r="D181" s="32" t="s">
        <v>558</v>
      </c>
      <c r="E181" s="32">
        <v>5.3475900000000003</v>
      </c>
      <c r="F181" s="31">
        <f t="shared" si="2"/>
        <v>0.14281212436503421</v>
      </c>
      <c r="H181" s="16" t="s">
        <v>490</v>
      </c>
      <c r="I181" s="19">
        <v>917</v>
      </c>
      <c r="J181" s="91">
        <f>Table6[[#This Row],[TRUMP VOTES]]/C436</f>
        <v>0.43459715639810426</v>
      </c>
      <c r="K181" s="18">
        <v>0.90900000000000003</v>
      </c>
      <c r="L181" s="19">
        <v>81</v>
      </c>
      <c r="M181" s="91">
        <f>Table6[[#This Row],[BIDEN VOTES]]/C436</f>
        <v>3.8388625592417062E-2</v>
      </c>
      <c r="N181" s="18">
        <v>0.08</v>
      </c>
      <c r="O181" s="92">
        <f>1-(Table6[[#This Row],[NbP]]+Table6[[#This Row],[NbP2]])</f>
        <v>0.52701421800947867</v>
      </c>
    </row>
    <row r="182" spans="1:15" ht="20">
      <c r="A182" s="30" t="s">
        <v>69</v>
      </c>
      <c r="B182" s="31" t="s">
        <v>720</v>
      </c>
      <c r="C182" s="30" t="s">
        <v>1</v>
      </c>
      <c r="D182" s="30" t="s">
        <v>558</v>
      </c>
      <c r="E182" s="30">
        <v>14.25094</v>
      </c>
      <c r="F182" s="31">
        <f t="shared" si="2"/>
        <v>0.38058396690820362</v>
      </c>
      <c r="H182" s="16" t="s">
        <v>491</v>
      </c>
      <c r="I182" s="17">
        <v>29186</v>
      </c>
      <c r="J182" s="91">
        <f>Table6[[#This Row],[TRUMP VOTES]]/C437</f>
        <v>0.34838139801375095</v>
      </c>
      <c r="K182" s="18">
        <v>0.81100000000000005</v>
      </c>
      <c r="L182" s="17">
        <v>6357</v>
      </c>
      <c r="M182" s="91">
        <f>Table6[[#This Row],[BIDEN VOTES]]/C437</f>
        <v>7.58809205500382E-2</v>
      </c>
      <c r="N182" s="18">
        <v>0.17699999999999999</v>
      </c>
      <c r="O182" s="92">
        <f>1-(Table6[[#This Row],[NbP]]+Table6[[#This Row],[NbP2]])</f>
        <v>0.57573768143621085</v>
      </c>
    </row>
    <row r="183" spans="1:15" ht="20">
      <c r="A183" s="32" t="s">
        <v>69</v>
      </c>
      <c r="B183" s="33" t="s">
        <v>721</v>
      </c>
      <c r="C183" s="32" t="s">
        <v>1</v>
      </c>
      <c r="D183" s="32" t="s">
        <v>558</v>
      </c>
      <c r="E183" s="32">
        <v>32.508490000000002</v>
      </c>
      <c r="F183" s="31">
        <f t="shared" si="2"/>
        <v>0.86816800031406127</v>
      </c>
      <c r="H183" s="16" t="s">
        <v>492</v>
      </c>
      <c r="I183" s="17">
        <v>10179</v>
      </c>
      <c r="J183" s="91">
        <f>Table6[[#This Row],[TRUMP VOTES]]/C438</f>
        <v>0.35353570436232284</v>
      </c>
      <c r="K183" s="18">
        <v>0.81499999999999995</v>
      </c>
      <c r="L183" s="17">
        <v>2178</v>
      </c>
      <c r="M183" s="91">
        <f>Table6[[#This Row],[BIDEN VOTES]]/C438</f>
        <v>7.5646012781328154E-2</v>
      </c>
      <c r="N183" s="18">
        <v>0.17399999999999999</v>
      </c>
      <c r="O183" s="92">
        <f>1-(Table6[[#This Row],[NbP]]+Table6[[#This Row],[NbP2]])</f>
        <v>0.57081828285634906</v>
      </c>
    </row>
    <row r="184" spans="1:15" ht="20">
      <c r="A184" s="30" t="s">
        <v>69</v>
      </c>
      <c r="B184" s="31" t="s">
        <v>722</v>
      </c>
      <c r="C184" s="30" t="s">
        <v>1</v>
      </c>
      <c r="D184" s="30" t="s">
        <v>558</v>
      </c>
      <c r="E184" s="30">
        <v>11.75285</v>
      </c>
      <c r="F184" s="31">
        <f t="shared" si="2"/>
        <v>0.31387026227582748</v>
      </c>
      <c r="H184" s="16" t="s">
        <v>493</v>
      </c>
      <c r="I184" s="17">
        <v>9326</v>
      </c>
      <c r="J184" s="91">
        <f>Table6[[#This Row],[TRUMP VOTES]]/C439</f>
        <v>0.40222548089364274</v>
      </c>
      <c r="K184" s="18">
        <v>0.81399999999999995</v>
      </c>
      <c r="L184" s="17">
        <v>2057</v>
      </c>
      <c r="M184" s="91">
        <f>Table6[[#This Row],[BIDEN VOTES]]/C439</f>
        <v>8.8717329422927635E-2</v>
      </c>
      <c r="N184" s="18">
        <v>0.18</v>
      </c>
      <c r="O184" s="92">
        <f>1-(Table6[[#This Row],[NbP]]+Table6[[#This Row],[NbP2]])</f>
        <v>0.50905718968342961</v>
      </c>
    </row>
    <row r="185" spans="1:15" ht="20">
      <c r="A185" s="32" t="s">
        <v>69</v>
      </c>
      <c r="B185" s="33" t="s">
        <v>723</v>
      </c>
      <c r="C185" s="32" t="s">
        <v>1</v>
      </c>
      <c r="D185" s="32" t="s">
        <v>558</v>
      </c>
      <c r="E185" s="32">
        <v>14.92009</v>
      </c>
      <c r="F185" s="31">
        <f t="shared" si="2"/>
        <v>0.39845420995579378</v>
      </c>
      <c r="H185" s="16" t="s">
        <v>494</v>
      </c>
      <c r="I185" s="17">
        <v>62045</v>
      </c>
      <c r="J185" s="91">
        <f>Table6[[#This Row],[TRUMP VOTES]]/C440</f>
        <v>0.44814983351029636</v>
      </c>
      <c r="K185" s="18">
        <v>0.81499999999999995</v>
      </c>
      <c r="L185" s="17">
        <v>13017</v>
      </c>
      <c r="M185" s="91">
        <f>Table6[[#This Row],[BIDEN VOTES]]/C440</f>
        <v>9.4021538928254128E-2</v>
      </c>
      <c r="N185" s="18">
        <v>0.17100000000000001</v>
      </c>
      <c r="O185" s="92">
        <f>1-(Table6[[#This Row],[NbP]]+Table6[[#This Row],[NbP2]])</f>
        <v>0.45782862756144949</v>
      </c>
    </row>
    <row r="186" spans="1:15" ht="20">
      <c r="A186" s="30" t="s">
        <v>69</v>
      </c>
      <c r="B186" s="31" t="s">
        <v>724</v>
      </c>
      <c r="C186" s="30" t="s">
        <v>1</v>
      </c>
      <c r="D186" s="30" t="s">
        <v>558</v>
      </c>
      <c r="E186" s="30">
        <v>9.8000799999999995</v>
      </c>
      <c r="F186" s="31">
        <f t="shared" si="2"/>
        <v>0.2617198109330155</v>
      </c>
      <c r="H186" s="16" t="s">
        <v>495</v>
      </c>
      <c r="I186" s="17">
        <v>2135</v>
      </c>
      <c r="J186" s="91">
        <f>Table6[[#This Row],[TRUMP VOTES]]/C441</f>
        <v>0.22149600580973131</v>
      </c>
      <c r="K186" s="18">
        <v>0.80600000000000005</v>
      </c>
      <c r="L186" s="19">
        <v>488</v>
      </c>
      <c r="M186" s="91">
        <f>Table6[[#This Row],[BIDEN VOTES]]/C441</f>
        <v>5.0627658470795728E-2</v>
      </c>
      <c r="N186" s="18">
        <v>0.184</v>
      </c>
      <c r="O186" s="92">
        <f>1-(Table6[[#This Row],[NbP]]+Table6[[#This Row],[NbP2]])</f>
        <v>0.72787633571947297</v>
      </c>
    </row>
    <row r="187" spans="1:15" ht="20">
      <c r="A187" s="32" t="s">
        <v>69</v>
      </c>
      <c r="B187" s="33" t="s">
        <v>725</v>
      </c>
      <c r="C187" s="32" t="s">
        <v>1</v>
      </c>
      <c r="D187" s="32" t="s">
        <v>558</v>
      </c>
      <c r="E187" s="32">
        <v>15.41905</v>
      </c>
      <c r="F187" s="31">
        <f t="shared" si="2"/>
        <v>0.4117793784098408</v>
      </c>
      <c r="H187" s="16" t="s">
        <v>496</v>
      </c>
      <c r="I187" s="17">
        <v>3215</v>
      </c>
      <c r="J187" s="91">
        <f>Table6[[#This Row],[TRUMP VOTES]]/C442</f>
        <v>0.20445151033386327</v>
      </c>
      <c r="K187" s="18">
        <v>0.68899999999999995</v>
      </c>
      <c r="L187" s="17">
        <v>1382</v>
      </c>
      <c r="M187" s="91">
        <f>Table6[[#This Row],[BIDEN VOTES]]/C442</f>
        <v>8.7885532591414947E-2</v>
      </c>
      <c r="N187" s="18">
        <v>0.29599999999999999</v>
      </c>
      <c r="O187" s="92">
        <f>1-(Table6[[#This Row],[NbP]]+Table6[[#This Row],[NbP2]])</f>
        <v>0.70766295707472171</v>
      </c>
    </row>
    <row r="188" spans="1:15" ht="20">
      <c r="A188" s="30" t="s">
        <v>69</v>
      </c>
      <c r="B188" s="31" t="s">
        <v>140</v>
      </c>
      <c r="C188" s="30" t="s">
        <v>1</v>
      </c>
      <c r="D188" s="30" t="s">
        <v>558</v>
      </c>
      <c r="E188" s="30">
        <v>12.947369999999999</v>
      </c>
      <c r="F188" s="31">
        <f t="shared" si="2"/>
        <v>0.34577097620425512</v>
      </c>
      <c r="H188" s="16" t="s">
        <v>239</v>
      </c>
      <c r="I188" s="17">
        <v>18573</v>
      </c>
      <c r="J188" s="91">
        <f>Table6[[#This Row],[TRUMP VOTES]]/C443</f>
        <v>0.37031203269863422</v>
      </c>
      <c r="K188" s="18">
        <v>0.76800000000000002</v>
      </c>
      <c r="L188" s="17">
        <v>5387</v>
      </c>
      <c r="M188" s="91">
        <f>Table6[[#This Row],[BIDEN VOTES]]/C443</f>
        <v>0.10740703818163692</v>
      </c>
      <c r="N188" s="18">
        <v>0.223</v>
      </c>
      <c r="O188" s="92">
        <f>1-(Table6[[#This Row],[NbP]]+Table6[[#This Row],[NbP2]])</f>
        <v>0.52228092911972879</v>
      </c>
    </row>
    <row r="189" spans="1:15" ht="20">
      <c r="A189" s="32" t="s">
        <v>69</v>
      </c>
      <c r="B189" s="33" t="s">
        <v>726</v>
      </c>
      <c r="C189" s="32" t="s">
        <v>1</v>
      </c>
      <c r="D189" s="32" t="s">
        <v>558</v>
      </c>
      <c r="E189" s="32">
        <v>22.045909999999999</v>
      </c>
      <c r="F189" s="31">
        <f t="shared" si="2"/>
        <v>0.5887555404696978</v>
      </c>
      <c r="H189" s="16" t="s">
        <v>497</v>
      </c>
      <c r="I189" s="17">
        <v>22820</v>
      </c>
      <c r="J189" s="91">
        <f>Table6[[#This Row],[TRUMP VOTES]]/C444</f>
        <v>0.19286191188526322</v>
      </c>
      <c r="K189" s="18">
        <v>0.68500000000000005</v>
      </c>
      <c r="L189" s="17">
        <v>9921</v>
      </c>
      <c r="M189" s="91">
        <f>Table6[[#This Row],[BIDEN VOTES]]/C444</f>
        <v>8.3846758449329373E-2</v>
      </c>
      <c r="N189" s="18">
        <v>0.29799999999999999</v>
      </c>
      <c r="O189" s="92">
        <f>1-(Table6[[#This Row],[NbP]]+Table6[[#This Row],[NbP2]])</f>
        <v>0.72329132966540743</v>
      </c>
    </row>
    <row r="190" spans="1:15" ht="20">
      <c r="A190" s="30" t="s">
        <v>69</v>
      </c>
      <c r="B190" s="31" t="s">
        <v>727</v>
      </c>
      <c r="C190" s="30" t="s">
        <v>1</v>
      </c>
      <c r="D190" s="30" t="s">
        <v>558</v>
      </c>
      <c r="E190" s="30">
        <v>6.9930099999999999</v>
      </c>
      <c r="F190" s="31">
        <f t="shared" si="2"/>
        <v>0.18675452190723818</v>
      </c>
      <c r="H190" s="16" t="s">
        <v>498</v>
      </c>
      <c r="I190" s="19">
        <v>721</v>
      </c>
      <c r="J190" s="91">
        <f>Table6[[#This Row],[TRUMP VOTES]]/C445</f>
        <v>0.1059048178613396</v>
      </c>
      <c r="K190" s="18">
        <v>0.32500000000000001</v>
      </c>
      <c r="L190" s="17">
        <v>1463</v>
      </c>
      <c r="M190" s="91">
        <f>Table6[[#This Row],[BIDEN VOTES]]/C445</f>
        <v>0.21489424206815511</v>
      </c>
      <c r="N190" s="18">
        <v>0.66</v>
      </c>
      <c r="O190" s="92">
        <f>1-(Table6[[#This Row],[NbP]]+Table6[[#This Row],[NbP2]])</f>
        <v>0.67920094007050524</v>
      </c>
    </row>
    <row r="191" spans="1:15" ht="20">
      <c r="A191" s="32" t="s">
        <v>69</v>
      </c>
      <c r="B191" s="33" t="s">
        <v>728</v>
      </c>
      <c r="C191" s="32" t="s">
        <v>1</v>
      </c>
      <c r="D191" s="32" t="s">
        <v>558</v>
      </c>
      <c r="E191" s="32">
        <v>12.289490000000001</v>
      </c>
      <c r="F191" s="31">
        <f t="shared" si="2"/>
        <v>0.32820170848229657</v>
      </c>
      <c r="H191" s="16" t="s">
        <v>499</v>
      </c>
      <c r="I191" s="17">
        <v>5155</v>
      </c>
      <c r="J191" s="91">
        <f>Table6[[#This Row],[TRUMP VOTES]]/C446</f>
        <v>0.42954753770519122</v>
      </c>
      <c r="K191" s="18">
        <v>0.85199999999999998</v>
      </c>
      <c r="L191" s="19">
        <v>842</v>
      </c>
      <c r="M191" s="91">
        <f>Table6[[#This Row],[BIDEN VOTES]]/C446</f>
        <v>7.0160819931672364E-2</v>
      </c>
      <c r="N191" s="18">
        <v>0.13900000000000001</v>
      </c>
      <c r="O191" s="92">
        <f>1-(Table6[[#This Row],[NbP]]+Table6[[#This Row],[NbP2]])</f>
        <v>0.50029164236313639</v>
      </c>
    </row>
    <row r="192" spans="1:15" ht="20">
      <c r="A192" s="30" t="s">
        <v>69</v>
      </c>
      <c r="B192" s="31" t="s">
        <v>729</v>
      </c>
      <c r="C192" s="30" t="s">
        <v>1</v>
      </c>
      <c r="D192" s="30" t="s">
        <v>558</v>
      </c>
      <c r="E192" s="30">
        <v>11.91658</v>
      </c>
      <c r="F192" s="31">
        <f t="shared" si="2"/>
        <v>0.31824281685130673</v>
      </c>
      <c r="H192" s="16" t="s">
        <v>500</v>
      </c>
      <c r="I192" s="17">
        <v>50796</v>
      </c>
      <c r="J192" s="91">
        <f>Table6[[#This Row],[TRUMP VOTES]]/C447</f>
        <v>0.37348626888717329</v>
      </c>
      <c r="K192" s="18">
        <v>0.78600000000000003</v>
      </c>
      <c r="L192" s="17">
        <v>12802</v>
      </c>
      <c r="M192" s="91">
        <f>Table6[[#This Row],[BIDEN VOTES]]/C447</f>
        <v>9.4128892320135285E-2</v>
      </c>
      <c r="N192" s="18">
        <v>0.19800000000000001</v>
      </c>
      <c r="O192" s="92">
        <f>1-(Table6[[#This Row],[NbP]]+Table6[[#This Row],[NbP2]])</f>
        <v>0.53238483879269149</v>
      </c>
    </row>
    <row r="193" spans="1:15" ht="20">
      <c r="A193" s="32" t="s">
        <v>69</v>
      </c>
      <c r="B193" s="33" t="s">
        <v>730</v>
      </c>
      <c r="C193" s="32" t="s">
        <v>1</v>
      </c>
      <c r="D193" s="32" t="s">
        <v>558</v>
      </c>
      <c r="E193" s="32">
        <v>7.6013500000000001</v>
      </c>
      <c r="F193" s="31">
        <f t="shared" si="2"/>
        <v>0.20300078007890521</v>
      </c>
      <c r="H193" s="16" t="s">
        <v>501</v>
      </c>
      <c r="I193" s="19">
        <v>942</v>
      </c>
      <c r="J193" s="91">
        <f>Table6[[#This Row],[TRUMP VOTES]]/C448</f>
        <v>0.25013276686139141</v>
      </c>
      <c r="K193" s="18">
        <v>0.83799999999999997</v>
      </c>
      <c r="L193" s="19">
        <v>172</v>
      </c>
      <c r="M193" s="91">
        <f>Table6[[#This Row],[BIDEN VOTES]]/C448</f>
        <v>4.5671800318640467E-2</v>
      </c>
      <c r="N193" s="18">
        <v>0.153</v>
      </c>
      <c r="O193" s="92">
        <f>1-(Table6[[#This Row],[NbP]]+Table6[[#This Row],[NbP2]])</f>
        <v>0.7041954328199681</v>
      </c>
    </row>
    <row r="194" spans="1:15" ht="20">
      <c r="A194" s="30" t="s">
        <v>69</v>
      </c>
      <c r="B194" s="31" t="s">
        <v>731</v>
      </c>
      <c r="C194" s="30" t="s">
        <v>1</v>
      </c>
      <c r="D194" s="30" t="s">
        <v>558</v>
      </c>
      <c r="E194" s="30">
        <v>8.8105700000000002</v>
      </c>
      <c r="F194" s="31">
        <f t="shared" ref="F194:F254" si="3">E194/(MAX(E:E)-MIN(E:E))</f>
        <v>0.2352940705190262</v>
      </c>
      <c r="H194" s="16" t="s">
        <v>502</v>
      </c>
      <c r="I194" s="17">
        <v>1643</v>
      </c>
      <c r="J194" s="91">
        <f>Table6[[#This Row],[TRUMP VOTES]]/C449</f>
        <v>0.47914843977836102</v>
      </c>
      <c r="K194" s="18">
        <v>0.82899999999999996</v>
      </c>
      <c r="L194" s="19">
        <v>320</v>
      </c>
      <c r="M194" s="91">
        <f>Table6[[#This Row],[BIDEN VOTES]]/C449</f>
        <v>9.3321668124817736E-2</v>
      </c>
      <c r="N194" s="18">
        <v>0.161</v>
      </c>
      <c r="O194" s="92">
        <f>1-(Table6[[#This Row],[NbP]]+Table6[[#This Row],[NbP2]])</f>
        <v>0.42752989209682124</v>
      </c>
    </row>
    <row r="195" spans="1:15" ht="20">
      <c r="A195" s="32" t="s">
        <v>69</v>
      </c>
      <c r="B195" s="33" t="s">
        <v>732</v>
      </c>
      <c r="C195" s="32" t="s">
        <v>1</v>
      </c>
      <c r="D195" s="32" t="s">
        <v>558</v>
      </c>
      <c r="E195" s="32">
        <v>24.031009999999998</v>
      </c>
      <c r="F195" s="31">
        <f t="shared" si="3"/>
        <v>0.64176939307938352</v>
      </c>
      <c r="H195" s="16" t="s">
        <v>503</v>
      </c>
      <c r="I195" s="17">
        <v>4517</v>
      </c>
      <c r="J195" s="91">
        <f>Table6[[#This Row],[TRUMP VOTES]]/C450</f>
        <v>0.37284358233594717</v>
      </c>
      <c r="K195" s="18">
        <v>0.77800000000000002</v>
      </c>
      <c r="L195" s="17">
        <v>1246</v>
      </c>
      <c r="M195" s="91">
        <f>Table6[[#This Row],[BIDEN VOTES]]/C450</f>
        <v>0.10284770945109369</v>
      </c>
      <c r="N195" s="18">
        <v>0.215</v>
      </c>
      <c r="O195" s="92">
        <f>1-(Table6[[#This Row],[NbP]]+Table6[[#This Row],[NbP2]])</f>
        <v>0.52430870821295916</v>
      </c>
    </row>
    <row r="196" spans="1:15" ht="20">
      <c r="A196" s="30" t="s">
        <v>69</v>
      </c>
      <c r="B196" s="31" t="s">
        <v>733</v>
      </c>
      <c r="C196" s="30" t="s">
        <v>1</v>
      </c>
      <c r="D196" s="30" t="s">
        <v>558</v>
      </c>
      <c r="E196" s="30">
        <v>10.538639999999999</v>
      </c>
      <c r="F196" s="31">
        <f t="shared" si="3"/>
        <v>0.28144370946881192</v>
      </c>
      <c r="H196" s="16" t="s">
        <v>504</v>
      </c>
      <c r="I196" s="17">
        <v>2254</v>
      </c>
      <c r="J196" s="91">
        <f>Table6[[#This Row],[TRUMP VOTES]]/C451</f>
        <v>0.14498906471117973</v>
      </c>
      <c r="K196" s="18">
        <v>0.61099999999999999</v>
      </c>
      <c r="L196" s="17">
        <v>1395</v>
      </c>
      <c r="M196" s="91">
        <f>Table6[[#This Row],[BIDEN VOTES]]/C451</f>
        <v>8.9733693554612123E-2</v>
      </c>
      <c r="N196" s="18">
        <v>0.378</v>
      </c>
      <c r="O196" s="92">
        <f>1-(Table6[[#This Row],[NbP]]+Table6[[#This Row],[NbP2]])</f>
        <v>0.76527724173420819</v>
      </c>
    </row>
    <row r="197" spans="1:15" ht="20">
      <c r="A197" s="32" t="s">
        <v>69</v>
      </c>
      <c r="B197" s="33" t="s">
        <v>734</v>
      </c>
      <c r="C197" s="32" t="s">
        <v>1</v>
      </c>
      <c r="D197" s="32" t="s">
        <v>558</v>
      </c>
      <c r="E197" s="32">
        <v>19.871420000000001</v>
      </c>
      <c r="F197" s="31">
        <f t="shared" si="3"/>
        <v>0.53068386027160419</v>
      </c>
      <c r="H197" s="16" t="s">
        <v>505</v>
      </c>
      <c r="I197" s="17">
        <v>2210</v>
      </c>
      <c r="J197" s="91">
        <f>Table6[[#This Row],[TRUMP VOTES]]/C452</f>
        <v>0.31503920171062011</v>
      </c>
      <c r="K197" s="18">
        <v>0.65700000000000003</v>
      </c>
      <c r="L197" s="17">
        <v>1108</v>
      </c>
      <c r="M197" s="91">
        <f>Table6[[#This Row],[BIDEN VOTES]]/C452</f>
        <v>0.1579472558802566</v>
      </c>
      <c r="N197" s="18">
        <v>0.32900000000000001</v>
      </c>
      <c r="O197" s="92">
        <f>1-(Table6[[#This Row],[NbP]]+Table6[[#This Row],[NbP2]])</f>
        <v>0.52701354240912335</v>
      </c>
    </row>
    <row r="198" spans="1:15" ht="20">
      <c r="A198" s="30" t="s">
        <v>69</v>
      </c>
      <c r="B198" s="31" t="s">
        <v>735</v>
      </c>
      <c r="C198" s="30" t="s">
        <v>1</v>
      </c>
      <c r="D198" s="30" t="s">
        <v>558</v>
      </c>
      <c r="E198" s="30">
        <v>0</v>
      </c>
      <c r="F198" s="31">
        <f t="shared" si="3"/>
        <v>0</v>
      </c>
      <c r="H198" s="16" t="s">
        <v>506</v>
      </c>
      <c r="I198" s="19">
        <v>529</v>
      </c>
      <c r="J198" s="91">
        <f>Table6[[#This Row],[TRUMP VOTES]]/C453</f>
        <v>0.67474489795918369</v>
      </c>
      <c r="K198" s="18">
        <v>0.96199999999999997</v>
      </c>
      <c r="L198" s="19">
        <v>17</v>
      </c>
      <c r="M198" s="91">
        <f>Table6[[#This Row],[BIDEN VOTES]]/C453</f>
        <v>2.1683673469387755E-2</v>
      </c>
      <c r="N198" s="18">
        <v>3.1E-2</v>
      </c>
      <c r="O198" s="92">
        <f>1-(Table6[[#This Row],[NbP]]+Table6[[#This Row],[NbP2]])</f>
        <v>0.3035714285714286</v>
      </c>
    </row>
    <row r="199" spans="1:15" ht="20">
      <c r="A199" s="32" t="s">
        <v>69</v>
      </c>
      <c r="B199" s="33" t="s">
        <v>144</v>
      </c>
      <c r="C199" s="32" t="s">
        <v>1</v>
      </c>
      <c r="D199" s="32" t="s">
        <v>558</v>
      </c>
      <c r="E199" s="32">
        <v>14.099780000000001</v>
      </c>
      <c r="F199" s="31">
        <f t="shared" si="3"/>
        <v>0.37654710530904989</v>
      </c>
      <c r="H199" s="16" t="s">
        <v>243</v>
      </c>
      <c r="I199" s="17">
        <v>5646</v>
      </c>
      <c r="J199" s="91">
        <f>Table6[[#This Row],[TRUMP VOTES]]/C454</f>
        <v>0.33029133029133029</v>
      </c>
      <c r="K199" s="18">
        <v>0.69699999999999995</v>
      </c>
      <c r="L199" s="17">
        <v>2374</v>
      </c>
      <c r="M199" s="91">
        <f>Table6[[#This Row],[BIDEN VOTES]]/C454</f>
        <v>0.13887913887913889</v>
      </c>
      <c r="N199" s="18">
        <v>0.29299999999999998</v>
      </c>
      <c r="O199" s="92">
        <f>1-(Table6[[#This Row],[NbP]]+Table6[[#This Row],[NbP2]])</f>
        <v>0.53082953082953077</v>
      </c>
    </row>
    <row r="200" spans="1:15" ht="20">
      <c r="A200" s="30" t="s">
        <v>69</v>
      </c>
      <c r="B200" s="31" t="s">
        <v>736</v>
      </c>
      <c r="C200" s="30" t="s">
        <v>1</v>
      </c>
      <c r="D200" s="30" t="s">
        <v>558</v>
      </c>
      <c r="E200" s="30">
        <v>9.0482800000000001</v>
      </c>
      <c r="F200" s="31">
        <f t="shared" si="3"/>
        <v>0.24164232647784362</v>
      </c>
      <c r="H200" s="16" t="s">
        <v>507</v>
      </c>
      <c r="I200" s="17">
        <v>36726</v>
      </c>
      <c r="J200" s="91">
        <f>Table6[[#This Row],[TRUMP VOTES]]/C455</f>
        <v>0.36299481097108971</v>
      </c>
      <c r="K200" s="18">
        <v>0.68200000000000005</v>
      </c>
      <c r="L200" s="17">
        <v>16412</v>
      </c>
      <c r="M200" s="91">
        <f>Table6[[#This Row],[BIDEN VOTES]]/C455</f>
        <v>0.16221398566839634</v>
      </c>
      <c r="N200" s="18">
        <v>0.30499999999999999</v>
      </c>
      <c r="O200" s="92">
        <f>1-(Table6[[#This Row],[NbP]]+Table6[[#This Row],[NbP2]])</f>
        <v>0.47479120336051395</v>
      </c>
    </row>
    <row r="201" spans="1:15" ht="20">
      <c r="A201" s="32" t="s">
        <v>69</v>
      </c>
      <c r="B201" s="33" t="s">
        <v>737</v>
      </c>
      <c r="C201" s="32" t="s">
        <v>1</v>
      </c>
      <c r="D201" s="32" t="s">
        <v>558</v>
      </c>
      <c r="E201" s="32">
        <v>13.19876</v>
      </c>
      <c r="F201" s="31">
        <f t="shared" si="3"/>
        <v>0.35248456867191369</v>
      </c>
      <c r="H201" s="16" t="s">
        <v>508</v>
      </c>
      <c r="I201" s="17">
        <v>3807</v>
      </c>
      <c r="J201" s="91">
        <f>Table6[[#This Row],[TRUMP VOTES]]/C456</f>
        <v>0.37033073929961091</v>
      </c>
      <c r="K201" s="18">
        <v>0.86299999999999999</v>
      </c>
      <c r="L201" s="19">
        <v>552</v>
      </c>
      <c r="M201" s="91">
        <f>Table6[[#This Row],[BIDEN VOTES]]/C456</f>
        <v>5.3696498054474705E-2</v>
      </c>
      <c r="N201" s="18">
        <v>0.125</v>
      </c>
      <c r="O201" s="92">
        <f>1-(Table6[[#This Row],[NbP]]+Table6[[#This Row],[NbP2]])</f>
        <v>0.57597276264591435</v>
      </c>
    </row>
    <row r="202" spans="1:15" ht="20">
      <c r="A202" s="30" t="s">
        <v>69</v>
      </c>
      <c r="B202" s="31" t="s">
        <v>738</v>
      </c>
      <c r="C202" s="30" t="s">
        <v>1</v>
      </c>
      <c r="D202" s="30" t="s">
        <v>558</v>
      </c>
      <c r="E202" s="30">
        <v>15.59609</v>
      </c>
      <c r="F202" s="31">
        <f t="shared" si="3"/>
        <v>0.41650738831665596</v>
      </c>
      <c r="H202" s="16" t="s">
        <v>509</v>
      </c>
      <c r="I202" s="17">
        <v>16534</v>
      </c>
      <c r="J202" s="91">
        <f>Table6[[#This Row],[TRUMP VOTES]]/C457</f>
        <v>0.30625324146106542</v>
      </c>
      <c r="K202" s="18">
        <v>0.77400000000000002</v>
      </c>
      <c r="L202" s="17">
        <v>4629</v>
      </c>
      <c r="M202" s="91">
        <f>Table6[[#This Row],[BIDEN VOTES]]/C457</f>
        <v>8.5741275839075357E-2</v>
      </c>
      <c r="N202" s="18">
        <v>0.217</v>
      </c>
      <c r="O202" s="92">
        <f>1-(Table6[[#This Row],[NbP]]+Table6[[#This Row],[NbP2]])</f>
        <v>0.60800548269985921</v>
      </c>
    </row>
    <row r="203" spans="1:15" ht="20">
      <c r="A203" s="32" t="s">
        <v>69</v>
      </c>
      <c r="B203" s="33" t="s">
        <v>739</v>
      </c>
      <c r="C203" s="32" t="s">
        <v>1</v>
      </c>
      <c r="D203" s="32" t="s">
        <v>558</v>
      </c>
      <c r="E203" s="32">
        <v>7.6419199999999998</v>
      </c>
      <c r="F203" s="31">
        <f t="shared" si="3"/>
        <v>0.20408423783940843</v>
      </c>
      <c r="H203" s="16" t="s">
        <v>510</v>
      </c>
      <c r="I203" s="17">
        <v>4784</v>
      </c>
      <c r="J203" s="91">
        <f>Table6[[#This Row],[TRUMP VOTES]]/C458</f>
        <v>0.45692454632282714</v>
      </c>
      <c r="K203" s="18">
        <v>0.872</v>
      </c>
      <c r="L203" s="19">
        <v>669</v>
      </c>
      <c r="M203" s="91">
        <f>Table6[[#This Row],[BIDEN VOTES]]/C458</f>
        <v>6.3896848137535822E-2</v>
      </c>
      <c r="N203" s="18">
        <v>0.122</v>
      </c>
      <c r="O203" s="92">
        <f>1-(Table6[[#This Row],[NbP]]+Table6[[#This Row],[NbP2]])</f>
        <v>0.47917860553963698</v>
      </c>
    </row>
    <row r="204" spans="1:15" ht="20">
      <c r="A204" s="30" t="s">
        <v>69</v>
      </c>
      <c r="B204" s="31" t="s">
        <v>740</v>
      </c>
      <c r="C204" s="30" t="s">
        <v>1</v>
      </c>
      <c r="D204" s="30" t="s">
        <v>558</v>
      </c>
      <c r="E204" s="30">
        <v>14.11909</v>
      </c>
      <c r="F204" s="31">
        <f t="shared" si="3"/>
        <v>0.377062795951281</v>
      </c>
      <c r="H204" s="16" t="s">
        <v>511</v>
      </c>
      <c r="I204" s="17">
        <v>3007</v>
      </c>
      <c r="J204" s="91">
        <f>Table6[[#This Row],[TRUMP VOTES]]/C459</f>
        <v>0.36404358353510896</v>
      </c>
      <c r="K204" s="18">
        <v>0.751</v>
      </c>
      <c r="L204" s="19">
        <v>980</v>
      </c>
      <c r="M204" s="91">
        <f>Table6[[#This Row],[BIDEN VOTES]]/C459</f>
        <v>0.11864406779661017</v>
      </c>
      <c r="N204" s="18">
        <v>0.245</v>
      </c>
      <c r="O204" s="92">
        <f>1-(Table6[[#This Row],[NbP]]+Table6[[#This Row],[NbP2]])</f>
        <v>0.51731234866828091</v>
      </c>
    </row>
    <row r="205" spans="1:15" ht="20">
      <c r="A205" s="32" t="s">
        <v>69</v>
      </c>
      <c r="B205" s="33" t="s">
        <v>741</v>
      </c>
      <c r="C205" s="32" t="s">
        <v>1</v>
      </c>
      <c r="D205" s="32" t="s">
        <v>558</v>
      </c>
      <c r="E205" s="32">
        <v>11.902900000000001</v>
      </c>
      <c r="F205" s="31">
        <f t="shared" si="3"/>
        <v>0.3178774803424656</v>
      </c>
      <c r="H205" s="16" t="s">
        <v>512</v>
      </c>
      <c r="I205" s="17">
        <v>10161</v>
      </c>
      <c r="J205" s="91">
        <f>Table6[[#This Row],[TRUMP VOTES]]/C460</f>
        <v>0.35560299573038429</v>
      </c>
      <c r="K205" s="18">
        <v>0.80400000000000005</v>
      </c>
      <c r="L205" s="17">
        <v>2337</v>
      </c>
      <c r="M205" s="91">
        <f>Table6[[#This Row],[BIDEN VOTES]]/C460</f>
        <v>8.1787639112479882E-2</v>
      </c>
      <c r="N205" s="18">
        <v>0.185</v>
      </c>
      <c r="O205" s="92">
        <f>1-(Table6[[#This Row],[NbP]]+Table6[[#This Row],[NbP2]])</f>
        <v>0.56260936515713578</v>
      </c>
    </row>
    <row r="206" spans="1:15" ht="20">
      <c r="A206" s="30" t="s">
        <v>69</v>
      </c>
      <c r="B206" s="31" t="s">
        <v>742</v>
      </c>
      <c r="C206" s="30" t="s">
        <v>1</v>
      </c>
      <c r="D206" s="30" t="s">
        <v>558</v>
      </c>
      <c r="E206" s="30">
        <v>12.01004</v>
      </c>
      <c r="F206" s="31">
        <f t="shared" si="3"/>
        <v>0.32073874887735138</v>
      </c>
      <c r="H206" s="16" t="s">
        <v>513</v>
      </c>
      <c r="I206" s="17">
        <v>16516</v>
      </c>
      <c r="J206" s="91">
        <f>Table6[[#This Row],[TRUMP VOTES]]/C461</f>
        <v>0.24662157117472264</v>
      </c>
      <c r="K206" s="18">
        <v>0.63800000000000001</v>
      </c>
      <c r="L206" s="17">
        <v>8988</v>
      </c>
      <c r="M206" s="91">
        <f>Table6[[#This Row],[BIDEN VOTES]]/C461</f>
        <v>0.13421135152085292</v>
      </c>
      <c r="N206" s="18">
        <v>0.34699999999999998</v>
      </c>
      <c r="O206" s="92">
        <f>1-(Table6[[#This Row],[NbP]]+Table6[[#This Row],[NbP2]])</f>
        <v>0.61916707730442444</v>
      </c>
    </row>
    <row r="207" spans="1:15" ht="20">
      <c r="A207" s="32" t="s">
        <v>69</v>
      </c>
      <c r="B207" s="33" t="s">
        <v>743</v>
      </c>
      <c r="C207" s="32" t="s">
        <v>1</v>
      </c>
      <c r="D207" s="32" t="s">
        <v>558</v>
      </c>
      <c r="E207" s="32">
        <v>21.204409999999999</v>
      </c>
      <c r="F207" s="31">
        <f t="shared" si="3"/>
        <v>0.5662825381166422</v>
      </c>
      <c r="H207" s="16" t="s">
        <v>514</v>
      </c>
      <c r="I207" s="17">
        <v>2308</v>
      </c>
      <c r="J207" s="91">
        <f>Table6[[#This Row],[TRUMP VOTES]]/C462</f>
        <v>0.38441039307128583</v>
      </c>
      <c r="K207" s="18">
        <v>0.88700000000000001</v>
      </c>
      <c r="L207" s="19">
        <v>287</v>
      </c>
      <c r="M207" s="91">
        <f>Table6[[#This Row],[BIDEN VOTES]]/C462</f>
        <v>4.7801465689540308E-2</v>
      </c>
      <c r="N207" s="18">
        <v>0.11</v>
      </c>
      <c r="O207" s="92">
        <f>1-(Table6[[#This Row],[NbP]]+Table6[[#This Row],[NbP2]])</f>
        <v>0.56778814123917387</v>
      </c>
    </row>
    <row r="208" spans="1:15" ht="20">
      <c r="A208" s="30" t="s">
        <v>69</v>
      </c>
      <c r="B208" s="31" t="s">
        <v>744</v>
      </c>
      <c r="C208" s="30" t="s">
        <v>1</v>
      </c>
      <c r="D208" s="30" t="s">
        <v>558</v>
      </c>
      <c r="E208" s="30">
        <v>1.20627</v>
      </c>
      <c r="F208" s="31">
        <f t="shared" si="3"/>
        <v>3.2214508078930844E-2</v>
      </c>
      <c r="H208" s="16" t="s">
        <v>515</v>
      </c>
      <c r="I208" s="19">
        <v>940</v>
      </c>
      <c r="J208" s="91">
        <f>Table6[[#This Row],[TRUMP VOTES]]/C463</f>
        <v>0.32436162870945479</v>
      </c>
      <c r="K208" s="18">
        <v>0.81100000000000005</v>
      </c>
      <c r="L208" s="19">
        <v>211</v>
      </c>
      <c r="M208" s="91">
        <f>Table6[[#This Row],[BIDEN VOTES]]/C463</f>
        <v>7.2808833678398896E-2</v>
      </c>
      <c r="N208" s="18">
        <v>0.182</v>
      </c>
      <c r="O208" s="92">
        <f>1-(Table6[[#This Row],[NbP]]+Table6[[#This Row],[NbP2]])</f>
        <v>0.6028295376121463</v>
      </c>
    </row>
    <row r="209" spans="1:15" ht="20">
      <c r="A209" s="32" t="s">
        <v>69</v>
      </c>
      <c r="B209" s="33" t="s">
        <v>745</v>
      </c>
      <c r="C209" s="32" t="s">
        <v>1</v>
      </c>
      <c r="D209" s="32" t="s">
        <v>558</v>
      </c>
      <c r="E209" s="32">
        <v>16.663060000000002</v>
      </c>
      <c r="F209" s="31">
        <f t="shared" si="3"/>
        <v>0.44500176659430268</v>
      </c>
      <c r="H209" s="16" t="s">
        <v>516</v>
      </c>
      <c r="I209" s="17">
        <v>4983</v>
      </c>
      <c r="J209" s="91">
        <f>Table6[[#This Row],[TRUMP VOTES]]/C464</f>
        <v>0.29453836150845253</v>
      </c>
      <c r="K209" s="18">
        <v>0.84899999999999998</v>
      </c>
      <c r="L209" s="19">
        <v>818</v>
      </c>
      <c r="M209" s="91">
        <f>Table6[[#This Row],[BIDEN VOTES]]/C464</f>
        <v>4.8350868897032745E-2</v>
      </c>
      <c r="N209" s="18">
        <v>0.13900000000000001</v>
      </c>
      <c r="O209" s="92">
        <f>1-(Table6[[#This Row],[NbP]]+Table6[[#This Row],[NbP2]])</f>
        <v>0.65711076959451475</v>
      </c>
    </row>
    <row r="210" spans="1:15" ht="20">
      <c r="A210" s="30" t="s">
        <v>69</v>
      </c>
      <c r="B210" s="31" t="s">
        <v>746</v>
      </c>
      <c r="C210" s="30" t="s">
        <v>1</v>
      </c>
      <c r="D210" s="30" t="s">
        <v>558</v>
      </c>
      <c r="E210" s="30">
        <v>3.91134</v>
      </c>
      <c r="F210" s="31">
        <f t="shared" si="3"/>
        <v>0.10445579681948931</v>
      </c>
      <c r="H210" s="16" t="s">
        <v>517</v>
      </c>
      <c r="I210" s="17">
        <v>1484</v>
      </c>
      <c r="J210" s="91">
        <f>Table6[[#This Row],[TRUMP VOTES]]/C465</f>
        <v>0.45092676997872988</v>
      </c>
      <c r="K210" s="18">
        <v>0.91200000000000003</v>
      </c>
      <c r="L210" s="19">
        <v>130</v>
      </c>
      <c r="M210" s="91">
        <f>Table6[[#This Row],[BIDEN VOTES]]/C465</f>
        <v>3.950167122455181E-2</v>
      </c>
      <c r="N210" s="18">
        <v>0.08</v>
      </c>
      <c r="O210" s="92">
        <f>1-(Table6[[#This Row],[NbP]]+Table6[[#This Row],[NbP2]])</f>
        <v>0.50957155879671834</v>
      </c>
    </row>
    <row r="211" spans="1:15" ht="20">
      <c r="A211" s="32" t="s">
        <v>69</v>
      </c>
      <c r="B211" s="33" t="s">
        <v>149</v>
      </c>
      <c r="C211" s="32" t="s">
        <v>1</v>
      </c>
      <c r="D211" s="32" t="s">
        <v>558</v>
      </c>
      <c r="E211" s="32">
        <v>9.4623000000000008</v>
      </c>
      <c r="F211" s="31">
        <f t="shared" si="3"/>
        <v>0.25269909704731724</v>
      </c>
      <c r="H211" s="16" t="s">
        <v>264</v>
      </c>
      <c r="I211" s="17">
        <v>7975</v>
      </c>
      <c r="J211" s="91">
        <f>Table6[[#This Row],[TRUMP VOTES]]/C466</f>
        <v>0.31567905632743537</v>
      </c>
      <c r="K211" s="18">
        <v>0.79100000000000004</v>
      </c>
      <c r="L211" s="17">
        <v>2068</v>
      </c>
      <c r="M211" s="91">
        <f>Table6[[#This Row],[BIDEN VOTES]]/C466</f>
        <v>8.1858844951114285E-2</v>
      </c>
      <c r="N211" s="18">
        <v>0.20499999999999999</v>
      </c>
      <c r="O211" s="92">
        <f>1-(Table6[[#This Row],[NbP]]+Table6[[#This Row],[NbP2]])</f>
        <v>0.6024620987214504</v>
      </c>
    </row>
    <row r="212" spans="1:15" ht="20">
      <c r="A212" s="30" t="s">
        <v>69</v>
      </c>
      <c r="B212" s="31" t="s">
        <v>303</v>
      </c>
      <c r="C212" s="30" t="s">
        <v>1</v>
      </c>
      <c r="D212" s="30" t="s">
        <v>558</v>
      </c>
      <c r="E212" s="30">
        <v>12.865500000000001</v>
      </c>
      <c r="F212" s="31">
        <f t="shared" si="3"/>
        <v>0.34358456538708981</v>
      </c>
      <c r="H212" s="16" t="s">
        <v>288</v>
      </c>
      <c r="I212" s="19">
        <v>886</v>
      </c>
      <c r="J212" s="91">
        <f>Table6[[#This Row],[TRUMP VOTES]]/C467</f>
        <v>0.29087327642810246</v>
      </c>
      <c r="K212" s="18">
        <v>0.89400000000000002</v>
      </c>
      <c r="L212" s="19">
        <v>91</v>
      </c>
      <c r="M212" s="91">
        <f>Table6[[#This Row],[BIDEN VOTES]]/C467</f>
        <v>2.9875246224556794E-2</v>
      </c>
      <c r="N212" s="18">
        <v>9.1999999999999998E-2</v>
      </c>
      <c r="O212" s="92">
        <f>1-(Table6[[#This Row],[NbP]]+Table6[[#This Row],[NbP2]])</f>
        <v>0.67925147734734082</v>
      </c>
    </row>
    <row r="213" spans="1:15" ht="20">
      <c r="A213" s="32" t="s">
        <v>69</v>
      </c>
      <c r="B213" s="33" t="s">
        <v>150</v>
      </c>
      <c r="C213" s="32" t="s">
        <v>1</v>
      </c>
      <c r="D213" s="32" t="s">
        <v>558</v>
      </c>
      <c r="E213" s="32">
        <v>11.082750000000001</v>
      </c>
      <c r="F213" s="31">
        <f t="shared" si="3"/>
        <v>0.29597464863734557</v>
      </c>
      <c r="H213" s="16" t="s">
        <v>248</v>
      </c>
      <c r="I213" s="17">
        <v>69080</v>
      </c>
      <c r="J213" s="91">
        <f>Table6[[#This Row],[TRUMP VOTES]]/C468</f>
        <v>0.30010773989504047</v>
      </c>
      <c r="K213" s="18">
        <v>0.69</v>
      </c>
      <c r="L213" s="17">
        <v>29615</v>
      </c>
      <c r="M213" s="91">
        <f>Table6[[#This Row],[BIDEN VOTES]]/C468</f>
        <v>0.12865794321064888</v>
      </c>
      <c r="N213" s="18">
        <v>0.29599999999999999</v>
      </c>
      <c r="O213" s="92">
        <f>1-(Table6[[#This Row],[NbP]]+Table6[[#This Row],[NbP2]])</f>
        <v>0.57123431689431059</v>
      </c>
    </row>
    <row r="214" spans="1:15" ht="20">
      <c r="A214" s="30" t="s">
        <v>69</v>
      </c>
      <c r="B214" s="31" t="s">
        <v>747</v>
      </c>
      <c r="C214" s="30" t="s">
        <v>1</v>
      </c>
      <c r="D214" s="30" t="s">
        <v>558</v>
      </c>
      <c r="E214" s="30">
        <v>14.69843</v>
      </c>
      <c r="F214" s="31">
        <f t="shared" si="3"/>
        <v>0.39253458345362108</v>
      </c>
      <c r="H214" s="16" t="s">
        <v>518</v>
      </c>
      <c r="I214" s="17">
        <v>4105</v>
      </c>
      <c r="J214" s="91">
        <f>Table6[[#This Row],[TRUMP VOTES]]/C469</f>
        <v>0.45824960928778746</v>
      </c>
      <c r="K214" s="18">
        <v>0.83099999999999996</v>
      </c>
      <c r="L214" s="19">
        <v>768</v>
      </c>
      <c r="M214" s="91">
        <f>Table6[[#This Row],[BIDEN VOTES]]/C469</f>
        <v>8.5733422638981913E-2</v>
      </c>
      <c r="N214" s="18">
        <v>0.155</v>
      </c>
      <c r="O214" s="92">
        <f>1-(Table6[[#This Row],[NbP]]+Table6[[#This Row],[NbP2]])</f>
        <v>0.45601696807323067</v>
      </c>
    </row>
    <row r="215" spans="1:15" ht="20">
      <c r="A215" s="32" t="s">
        <v>69</v>
      </c>
      <c r="B215" s="33" t="s">
        <v>748</v>
      </c>
      <c r="C215" s="32" t="s">
        <v>1</v>
      </c>
      <c r="D215" s="32" t="s">
        <v>558</v>
      </c>
      <c r="E215" s="32">
        <v>5.8705499999999997</v>
      </c>
      <c r="F215" s="31">
        <f t="shared" si="3"/>
        <v>0.15677823406266214</v>
      </c>
      <c r="H215" s="16" t="s">
        <v>519</v>
      </c>
      <c r="I215" s="17">
        <v>8247</v>
      </c>
      <c r="J215" s="91">
        <f>Table6[[#This Row],[TRUMP VOTES]]/C470</f>
        <v>0.12879497751124439</v>
      </c>
      <c r="K215" s="18">
        <v>0.47099999999999997</v>
      </c>
      <c r="L215" s="17">
        <v>9123</v>
      </c>
      <c r="M215" s="91">
        <f>Table6[[#This Row],[BIDEN VOTES]]/C470</f>
        <v>0.14247563718140929</v>
      </c>
      <c r="N215" s="18">
        <v>0.52100000000000002</v>
      </c>
      <c r="O215" s="92">
        <f>1-(Table6[[#This Row],[NbP]]+Table6[[#This Row],[NbP2]])</f>
        <v>0.72872938530734632</v>
      </c>
    </row>
    <row r="216" spans="1:15" ht="20">
      <c r="A216" s="30" t="s">
        <v>69</v>
      </c>
      <c r="B216" s="31" t="s">
        <v>749</v>
      </c>
      <c r="C216" s="30" t="s">
        <v>1</v>
      </c>
      <c r="D216" s="30" t="s">
        <v>558</v>
      </c>
      <c r="E216" s="30">
        <v>12.448130000000001</v>
      </c>
      <c r="F216" s="31">
        <f t="shared" si="3"/>
        <v>0.33243833010236634</v>
      </c>
      <c r="H216" s="16" t="s">
        <v>520</v>
      </c>
      <c r="I216" s="17">
        <v>3385</v>
      </c>
      <c r="J216" s="91">
        <f>Table6[[#This Row],[TRUMP VOTES]]/C471</f>
        <v>0.36172259029707204</v>
      </c>
      <c r="K216" s="18">
        <v>0.89100000000000001</v>
      </c>
      <c r="L216" s="19">
        <v>397</v>
      </c>
      <c r="M216" s="91">
        <f>Table6[[#This Row],[BIDEN VOTES]]/C471</f>
        <v>4.2423594785210517E-2</v>
      </c>
      <c r="N216" s="18">
        <v>0.104</v>
      </c>
      <c r="O216" s="92">
        <f>1-(Table6[[#This Row],[NbP]]+Table6[[#This Row],[NbP2]])</f>
        <v>0.59585381491771749</v>
      </c>
    </row>
    <row r="217" spans="1:15" ht="20">
      <c r="A217" s="32" t="s">
        <v>69</v>
      </c>
      <c r="B217" s="33" t="s">
        <v>750</v>
      </c>
      <c r="C217" s="32" t="s">
        <v>1</v>
      </c>
      <c r="D217" s="32" t="s">
        <v>558</v>
      </c>
      <c r="E217" s="32">
        <v>7.72201</v>
      </c>
      <c r="F217" s="31">
        <f t="shared" si="3"/>
        <v>0.20622311218100822</v>
      </c>
      <c r="H217" s="16" t="s">
        <v>521</v>
      </c>
      <c r="I217" s="19">
        <v>584</v>
      </c>
      <c r="J217" s="91">
        <f>Table6[[#This Row],[TRUMP VOTES]]/C472</f>
        <v>0.45839874411302983</v>
      </c>
      <c r="K217" s="18">
        <v>0.91400000000000003</v>
      </c>
      <c r="L217" s="19">
        <v>51</v>
      </c>
      <c r="M217" s="91">
        <f>Table6[[#This Row],[BIDEN VOTES]]/C472</f>
        <v>4.0031397174254316E-2</v>
      </c>
      <c r="N217" s="18">
        <v>0.08</v>
      </c>
      <c r="O217" s="92">
        <f>1-(Table6[[#This Row],[NbP]]+Table6[[#This Row],[NbP2]])</f>
        <v>0.50156985871271587</v>
      </c>
    </row>
    <row r="218" spans="1:15" ht="20">
      <c r="A218" s="30" t="s">
        <v>69</v>
      </c>
      <c r="B218" s="31" t="s">
        <v>751</v>
      </c>
      <c r="C218" s="30" t="s">
        <v>1</v>
      </c>
      <c r="D218" s="30" t="s">
        <v>558</v>
      </c>
      <c r="E218" s="30">
        <v>25.889970000000002</v>
      </c>
      <c r="F218" s="31">
        <f t="shared" si="3"/>
        <v>0.69141456533634871</v>
      </c>
      <c r="H218" s="16" t="s">
        <v>522</v>
      </c>
      <c r="I218" s="19">
        <v>615</v>
      </c>
      <c r="J218" s="91">
        <f>Table6[[#This Row],[TRUMP VOTES]]/C473</f>
        <v>0.43555240793201133</v>
      </c>
      <c r="K218" s="18">
        <v>0.83599999999999997</v>
      </c>
      <c r="L218" s="19">
        <v>116</v>
      </c>
      <c r="M218" s="91">
        <f>Table6[[#This Row],[BIDEN VOTES]]/C473</f>
        <v>8.2152974504249299E-2</v>
      </c>
      <c r="N218" s="18">
        <v>0.158</v>
      </c>
      <c r="O218" s="92">
        <f>1-(Table6[[#This Row],[NbP]]+Table6[[#This Row],[NbP2]])</f>
        <v>0.48229461756373937</v>
      </c>
    </row>
    <row r="219" spans="1:15" ht="20">
      <c r="A219" s="32" t="s">
        <v>69</v>
      </c>
      <c r="B219" s="33" t="s">
        <v>752</v>
      </c>
      <c r="C219" s="32" t="s">
        <v>1</v>
      </c>
      <c r="D219" s="32" t="s">
        <v>558</v>
      </c>
      <c r="E219" s="32">
        <v>9.0452300000000001</v>
      </c>
      <c r="F219" s="31">
        <f t="shared" si="3"/>
        <v>0.24156087352813854</v>
      </c>
      <c r="H219" s="16" t="s">
        <v>523</v>
      </c>
      <c r="I219" s="17">
        <v>1222</v>
      </c>
      <c r="J219" s="91">
        <f>Table6[[#This Row],[TRUMP VOTES]]/C474</f>
        <v>0.32217242288426046</v>
      </c>
      <c r="K219" s="18">
        <v>0.78500000000000003</v>
      </c>
      <c r="L219" s="19">
        <v>322</v>
      </c>
      <c r="M219" s="91">
        <f>Table6[[#This Row],[BIDEN VOTES]]/C474</f>
        <v>8.4893224360664377E-2</v>
      </c>
      <c r="N219" s="18">
        <v>0.20699999999999999</v>
      </c>
      <c r="O219" s="92">
        <f>1-(Table6[[#This Row],[NbP]]+Table6[[#This Row],[NbP2]])</f>
        <v>0.59293435275507522</v>
      </c>
    </row>
    <row r="220" spans="1:15" ht="20">
      <c r="A220" s="30" t="s">
        <v>69</v>
      </c>
      <c r="B220" s="31" t="s">
        <v>753</v>
      </c>
      <c r="C220" s="30" t="s">
        <v>1</v>
      </c>
      <c r="D220" s="30" t="s">
        <v>558</v>
      </c>
      <c r="E220" s="30">
        <v>8.4650099999999995</v>
      </c>
      <c r="F220" s="31">
        <f t="shared" si="3"/>
        <v>0.22606558484686712</v>
      </c>
      <c r="H220" s="16" t="s">
        <v>524</v>
      </c>
      <c r="I220" s="17">
        <v>1845</v>
      </c>
      <c r="J220" s="91">
        <f>Table6[[#This Row],[TRUMP VOTES]]/C475</f>
        <v>0.24922328785627448</v>
      </c>
      <c r="K220" s="18">
        <v>0.78300000000000003</v>
      </c>
      <c r="L220" s="19">
        <v>478</v>
      </c>
      <c r="M220" s="91">
        <f>Table6[[#This Row],[BIDEN VOTES]]/C475</f>
        <v>6.4568418208834258E-2</v>
      </c>
      <c r="N220" s="18">
        <v>0.20300000000000001</v>
      </c>
      <c r="O220" s="92">
        <f>1-(Table6[[#This Row],[NbP]]+Table6[[#This Row],[NbP2]])</f>
        <v>0.68620829393489124</v>
      </c>
    </row>
    <row r="221" spans="1:15" ht="20">
      <c r="A221" s="32" t="s">
        <v>69</v>
      </c>
      <c r="B221" s="33" t="s">
        <v>754</v>
      </c>
      <c r="C221" s="32" t="s">
        <v>1</v>
      </c>
      <c r="D221" s="32" t="s">
        <v>558</v>
      </c>
      <c r="E221" s="32">
        <v>11.460660000000001</v>
      </c>
      <c r="F221" s="31">
        <f t="shared" si="3"/>
        <v>0.30606706969408143</v>
      </c>
      <c r="H221" s="16" t="s">
        <v>525</v>
      </c>
      <c r="I221" s="17">
        <v>409741</v>
      </c>
      <c r="J221" s="91">
        <f>Table6[[#This Row],[TRUMP VOTES]]/C476</f>
        <v>0.1972608661952201</v>
      </c>
      <c r="K221" s="18">
        <v>0.49099999999999999</v>
      </c>
      <c r="L221" s="17">
        <v>411567</v>
      </c>
      <c r="M221" s="91">
        <f>Table6[[#This Row],[BIDEN VOTES]]/C476</f>
        <v>0.19813995406212254</v>
      </c>
      <c r="N221" s="18">
        <v>0.49299999999999999</v>
      </c>
      <c r="O221" s="92">
        <f>1-(Table6[[#This Row],[NbP]]+Table6[[#This Row],[NbP2]])</f>
        <v>0.60459917974265731</v>
      </c>
    </row>
    <row r="222" spans="1:15" ht="20">
      <c r="A222" s="30" t="s">
        <v>69</v>
      </c>
      <c r="B222" s="31" t="s">
        <v>755</v>
      </c>
      <c r="C222" s="30" t="s">
        <v>1</v>
      </c>
      <c r="D222" s="30" t="s">
        <v>558</v>
      </c>
      <c r="E222" s="30">
        <v>27.519189999999998</v>
      </c>
      <c r="F222" s="31">
        <f t="shared" si="3"/>
        <v>0.73492432753913539</v>
      </c>
      <c r="H222" s="16" t="s">
        <v>526</v>
      </c>
      <c r="I222" s="17">
        <v>39547</v>
      </c>
      <c r="J222" s="91">
        <f>Table6[[#This Row],[TRUMP VOTES]]/C477</f>
        <v>0.2875706255771846</v>
      </c>
      <c r="K222" s="18">
        <v>0.71799999999999997</v>
      </c>
      <c r="L222" s="17">
        <v>14588</v>
      </c>
      <c r="M222" s="91">
        <f>Table6[[#This Row],[BIDEN VOTES]]/C477</f>
        <v>0.10607834439831007</v>
      </c>
      <c r="N222" s="18">
        <v>0.26500000000000001</v>
      </c>
      <c r="O222" s="92">
        <f>1-(Table6[[#This Row],[NbP]]+Table6[[#This Row],[NbP2]])</f>
        <v>0.6063510300245053</v>
      </c>
    </row>
    <row r="223" spans="1:15" ht="20">
      <c r="A223" s="32" t="s">
        <v>69</v>
      </c>
      <c r="B223" s="33" t="s">
        <v>756</v>
      </c>
      <c r="C223" s="32" t="s">
        <v>1</v>
      </c>
      <c r="D223" s="32" t="s">
        <v>558</v>
      </c>
      <c r="E223" s="32">
        <v>9.61538</v>
      </c>
      <c r="F223" s="31">
        <f t="shared" si="3"/>
        <v>0.25678723394595743</v>
      </c>
      <c r="H223" s="16" t="s">
        <v>527</v>
      </c>
      <c r="I223" s="19">
        <v>334</v>
      </c>
      <c r="J223" s="91">
        <f>Table6[[#This Row],[TRUMP VOTES]]/C478</f>
        <v>0.3698781838316722</v>
      </c>
      <c r="K223" s="18">
        <v>0.72899999999999998</v>
      </c>
      <c r="L223" s="19">
        <v>119</v>
      </c>
      <c r="M223" s="91">
        <f>Table6[[#This Row],[BIDEN VOTES]]/C478</f>
        <v>0.13178294573643412</v>
      </c>
      <c r="N223" s="18">
        <v>0.26</v>
      </c>
      <c r="O223" s="92">
        <f>1-(Table6[[#This Row],[NbP]]+Table6[[#This Row],[NbP2]])</f>
        <v>0.49833887043189362</v>
      </c>
    </row>
    <row r="224" spans="1:15" ht="20">
      <c r="A224" s="30" t="s">
        <v>69</v>
      </c>
      <c r="B224" s="31" t="s">
        <v>757</v>
      </c>
      <c r="C224" s="30" t="s">
        <v>1</v>
      </c>
      <c r="D224" s="30" t="s">
        <v>558</v>
      </c>
      <c r="E224" s="30">
        <v>16.18497</v>
      </c>
      <c r="F224" s="31">
        <f t="shared" si="3"/>
        <v>0.43223394996331949</v>
      </c>
      <c r="H224" s="16" t="s">
        <v>528</v>
      </c>
      <c r="I224" s="17">
        <v>2812</v>
      </c>
      <c r="J224" s="91">
        <f>Table6[[#This Row],[TRUMP VOTES]]/C479</f>
        <v>0.22662798194713088</v>
      </c>
      <c r="K224" s="18">
        <v>0.77900000000000003</v>
      </c>
      <c r="L224" s="19">
        <v>757</v>
      </c>
      <c r="M224" s="91">
        <f>Table6[[#This Row],[BIDEN VOTES]]/C479</f>
        <v>6.1009026434558349E-2</v>
      </c>
      <c r="N224" s="18">
        <v>0.21</v>
      </c>
      <c r="O224" s="92">
        <f>1-(Table6[[#This Row],[NbP]]+Table6[[#This Row],[NbP2]])</f>
        <v>0.71236299161831074</v>
      </c>
    </row>
    <row r="225" spans="1:15" ht="20">
      <c r="A225" s="32" t="s">
        <v>69</v>
      </c>
      <c r="B225" s="33" t="s">
        <v>758</v>
      </c>
      <c r="C225" s="32" t="s">
        <v>1</v>
      </c>
      <c r="D225" s="32" t="s">
        <v>558</v>
      </c>
      <c r="E225" s="32">
        <v>25.723469999999999</v>
      </c>
      <c r="F225" s="31">
        <f t="shared" si="3"/>
        <v>0.68696803545900609</v>
      </c>
      <c r="H225" s="16" t="s">
        <v>529</v>
      </c>
      <c r="I225" s="19">
        <v>806</v>
      </c>
      <c r="J225" s="91">
        <f>Table6[[#This Row],[TRUMP VOTES]]/C480</f>
        <v>0.53733333333333333</v>
      </c>
      <c r="K225" s="18">
        <v>0.90200000000000002</v>
      </c>
      <c r="L225" s="19">
        <v>82</v>
      </c>
      <c r="M225" s="91">
        <f>Table6[[#This Row],[BIDEN VOTES]]/C480</f>
        <v>5.4666666666666669E-2</v>
      </c>
      <c r="N225" s="18">
        <v>9.1999999999999998E-2</v>
      </c>
      <c r="O225" s="92">
        <f>1-(Table6[[#This Row],[NbP]]+Table6[[#This Row],[NbP2]])</f>
        <v>0.40800000000000003</v>
      </c>
    </row>
    <row r="226" spans="1:15" ht="20">
      <c r="A226" s="30" t="s">
        <v>69</v>
      </c>
      <c r="B226" s="31" t="s">
        <v>759</v>
      </c>
      <c r="C226" s="30" t="s">
        <v>1</v>
      </c>
      <c r="D226" s="30" t="s">
        <v>558</v>
      </c>
      <c r="E226" s="30">
        <v>9.8770900000000008</v>
      </c>
      <c r="F226" s="31">
        <f t="shared" si="3"/>
        <v>0.26377643114835575</v>
      </c>
      <c r="H226" s="16" t="s">
        <v>530</v>
      </c>
      <c r="I226" s="17">
        <v>7570</v>
      </c>
      <c r="J226" s="91">
        <f>Table6[[#This Row],[TRUMP VOTES]]/C481</f>
        <v>0.23143477330398363</v>
      </c>
      <c r="K226" s="18">
        <v>0.71799999999999997</v>
      </c>
      <c r="L226" s="17">
        <v>2856</v>
      </c>
      <c r="M226" s="91">
        <f>Table6[[#This Row],[BIDEN VOTES]]/C481</f>
        <v>8.7315417774924339E-2</v>
      </c>
      <c r="N226" s="18">
        <v>0.27100000000000002</v>
      </c>
      <c r="O226" s="92">
        <f>1-(Table6[[#This Row],[NbP]]+Table6[[#This Row],[NbP2]])</f>
        <v>0.6812498089210921</v>
      </c>
    </row>
    <row r="227" spans="1:15" ht="20">
      <c r="A227" s="32" t="s">
        <v>69</v>
      </c>
      <c r="B227" s="33" t="s">
        <v>760</v>
      </c>
      <c r="C227" s="32" t="s">
        <v>1</v>
      </c>
      <c r="D227" s="32" t="s">
        <v>558</v>
      </c>
      <c r="E227" s="32">
        <v>15.32499</v>
      </c>
      <c r="F227" s="31">
        <f t="shared" si="3"/>
        <v>0.40926742285270662</v>
      </c>
      <c r="H227" s="16" t="s">
        <v>531</v>
      </c>
      <c r="I227" s="17">
        <v>32313</v>
      </c>
      <c r="J227" s="91">
        <f>Table6[[#This Row],[TRUMP VOTES]]/C482</f>
        <v>0.27235028867630323</v>
      </c>
      <c r="K227" s="18">
        <v>0.71499999999999997</v>
      </c>
      <c r="L227" s="17">
        <v>12239</v>
      </c>
      <c r="M227" s="91">
        <f>Table6[[#This Row],[BIDEN VOTES]]/C482</f>
        <v>0.10315647519912344</v>
      </c>
      <c r="N227" s="18">
        <v>0.27100000000000002</v>
      </c>
      <c r="O227" s="92">
        <f>1-(Table6[[#This Row],[NbP]]+Table6[[#This Row],[NbP2]])</f>
        <v>0.6244932361245733</v>
      </c>
    </row>
    <row r="228" spans="1:15" ht="20">
      <c r="A228" s="30" t="s">
        <v>69</v>
      </c>
      <c r="B228" s="31" t="s">
        <v>761</v>
      </c>
      <c r="C228" s="30" t="s">
        <v>1</v>
      </c>
      <c r="D228" s="30" t="s">
        <v>558</v>
      </c>
      <c r="E228" s="30">
        <v>8.3207199999999997</v>
      </c>
      <c r="F228" s="31">
        <f t="shared" si="3"/>
        <v>0.22221219267868841</v>
      </c>
      <c r="H228" s="16" t="s">
        <v>532</v>
      </c>
      <c r="I228" s="17">
        <v>161337</v>
      </c>
      <c r="J228" s="91">
        <f>Table6[[#This Row],[TRUMP VOTES]]/C483</f>
        <v>0.12897838648507776</v>
      </c>
      <c r="K228" s="18">
        <v>0.26500000000000001</v>
      </c>
      <c r="L228" s="17">
        <v>435860</v>
      </c>
      <c r="M228" s="91">
        <f>Table6[[#This Row],[BIDEN VOTES]]/C483</f>
        <v>0.34844158211312959</v>
      </c>
      <c r="N228" s="18">
        <v>0.71699999999999997</v>
      </c>
      <c r="O228" s="92">
        <f>1-(Table6[[#This Row],[NbP]]+Table6[[#This Row],[NbP2]])</f>
        <v>0.52258003140179266</v>
      </c>
    </row>
    <row r="229" spans="1:15" ht="20">
      <c r="A229" s="32" t="s">
        <v>69</v>
      </c>
      <c r="B229" s="33" t="s">
        <v>762</v>
      </c>
      <c r="C229" s="32" t="s">
        <v>1</v>
      </c>
      <c r="D229" s="32" t="s">
        <v>558</v>
      </c>
      <c r="E229" s="32">
        <v>20.754719999999999</v>
      </c>
      <c r="F229" s="31">
        <f t="shared" si="3"/>
        <v>0.55427316862389642</v>
      </c>
      <c r="H229" s="16" t="s">
        <v>533</v>
      </c>
      <c r="I229" s="17">
        <v>5579</v>
      </c>
      <c r="J229" s="91">
        <f>Table6[[#This Row],[TRUMP VOTES]]/C484</f>
        <v>0.37980801960650828</v>
      </c>
      <c r="K229" s="18">
        <v>0.80400000000000005</v>
      </c>
      <c r="L229" s="17">
        <v>1323</v>
      </c>
      <c r="M229" s="91">
        <f>Table6[[#This Row],[BIDEN VOTES]]/C484</f>
        <v>9.0067397372183264E-2</v>
      </c>
      <c r="N229" s="18">
        <v>0.191</v>
      </c>
      <c r="O229" s="92">
        <f>1-(Table6[[#This Row],[NbP]]+Table6[[#This Row],[NbP2]])</f>
        <v>0.53012458302130838</v>
      </c>
    </row>
    <row r="230" spans="1:15" ht="20">
      <c r="A230" s="30" t="s">
        <v>69</v>
      </c>
      <c r="B230" s="31" t="s">
        <v>763</v>
      </c>
      <c r="C230" s="30" t="s">
        <v>1</v>
      </c>
      <c r="D230" s="30" t="s">
        <v>558</v>
      </c>
      <c r="E230" s="30">
        <v>11.132160000000001</v>
      </c>
      <c r="F230" s="31">
        <f t="shared" si="3"/>
        <v>0.29729418642256777</v>
      </c>
      <c r="H230" s="16" t="s">
        <v>534</v>
      </c>
      <c r="I230" s="17">
        <v>8194</v>
      </c>
      <c r="J230" s="91">
        <f>Table6[[#This Row],[TRUMP VOTES]]/C485</f>
        <v>0.38069132131574057</v>
      </c>
      <c r="K230" s="18">
        <v>0.84799999999999998</v>
      </c>
      <c r="L230" s="17">
        <v>1403</v>
      </c>
      <c r="M230" s="91">
        <f>Table6[[#This Row],[BIDEN VOTES]]/C485</f>
        <v>6.5183051477420553E-2</v>
      </c>
      <c r="N230" s="18">
        <v>0.14499999999999999</v>
      </c>
      <c r="O230" s="92">
        <f>1-(Table6[[#This Row],[NbP]]+Table6[[#This Row],[NbP2]])</f>
        <v>0.55412562720683889</v>
      </c>
    </row>
    <row r="231" spans="1:15" ht="20">
      <c r="A231" s="32" t="s">
        <v>69</v>
      </c>
      <c r="B231" s="33" t="s">
        <v>764</v>
      </c>
      <c r="C231" s="32" t="s">
        <v>1</v>
      </c>
      <c r="D231" s="32" t="s">
        <v>558</v>
      </c>
      <c r="E231" s="32">
        <v>13.566739999999999</v>
      </c>
      <c r="F231" s="31">
        <f t="shared" si="3"/>
        <v>0.36231180028911791</v>
      </c>
      <c r="H231" s="16" t="s">
        <v>535</v>
      </c>
      <c r="I231" s="17">
        <v>15809</v>
      </c>
      <c r="J231" s="91">
        <f>Table6[[#This Row],[TRUMP VOTES]]/C486</f>
        <v>0.38198907843232011</v>
      </c>
      <c r="K231" s="18">
        <v>0.83699999999999997</v>
      </c>
      <c r="L231" s="17">
        <v>2877</v>
      </c>
      <c r="M231" s="91">
        <f>Table6[[#This Row],[BIDEN VOTES]]/C486</f>
        <v>6.9516261537718074E-2</v>
      </c>
      <c r="N231" s="18">
        <v>0.152</v>
      </c>
      <c r="O231" s="92">
        <f>1-(Table6[[#This Row],[NbP]]+Table6[[#This Row],[NbP2]])</f>
        <v>0.54849466002996183</v>
      </c>
    </row>
    <row r="232" spans="1:15" ht="20">
      <c r="A232" s="30" t="s">
        <v>69</v>
      </c>
      <c r="B232" s="31" t="s">
        <v>765</v>
      </c>
      <c r="C232" s="30" t="s">
        <v>1</v>
      </c>
      <c r="D232" s="30" t="s">
        <v>558</v>
      </c>
      <c r="E232" s="30">
        <v>4.7483399999999998</v>
      </c>
      <c r="F232" s="31">
        <f t="shared" si="3"/>
        <v>0.12680862268937343</v>
      </c>
      <c r="H232" s="16" t="s">
        <v>536</v>
      </c>
      <c r="I232" s="17">
        <v>1178</v>
      </c>
      <c r="J232" s="91">
        <f>Table6[[#This Row],[TRUMP VOTES]]/C487</f>
        <v>0.32265132840317723</v>
      </c>
      <c r="K232" s="18">
        <v>0.86099999999999999</v>
      </c>
      <c r="L232" s="19">
        <v>170</v>
      </c>
      <c r="M232" s="91">
        <f>Table6[[#This Row],[BIDEN VOTES]]/C487</f>
        <v>4.6562585592988225E-2</v>
      </c>
      <c r="N232" s="18">
        <v>0.124</v>
      </c>
      <c r="O232" s="92">
        <f>1-(Table6[[#This Row],[NbP]]+Table6[[#This Row],[NbP2]])</f>
        <v>0.63078608600383457</v>
      </c>
    </row>
    <row r="233" spans="1:15" ht="20">
      <c r="A233" s="32" t="s">
        <v>69</v>
      </c>
      <c r="B233" s="33" t="s">
        <v>766</v>
      </c>
      <c r="C233" s="32" t="s">
        <v>1</v>
      </c>
      <c r="D233" s="32" t="s">
        <v>558</v>
      </c>
      <c r="E233" s="32">
        <v>14.36782</v>
      </c>
      <c r="F233" s="31">
        <f t="shared" si="3"/>
        <v>0.38370535076444262</v>
      </c>
      <c r="H233" s="16" t="s">
        <v>537</v>
      </c>
      <c r="I233" s="17">
        <v>6174</v>
      </c>
      <c r="J233" s="91">
        <f>Table6[[#This Row],[TRUMP VOTES]]/C488</f>
        <v>0.22952526116212499</v>
      </c>
      <c r="K233" s="18">
        <v>0.59699999999999998</v>
      </c>
      <c r="L233" s="17">
        <v>4073</v>
      </c>
      <c r="M233" s="91">
        <f>Table6[[#This Row],[BIDEN VOTES]]/C488</f>
        <v>0.15141826833711292</v>
      </c>
      <c r="N233" s="18">
        <v>0.39400000000000002</v>
      </c>
      <c r="O233" s="92">
        <f>1-(Table6[[#This Row],[NbP]]+Table6[[#This Row],[NbP2]])</f>
        <v>0.61905647050076207</v>
      </c>
    </row>
    <row r="234" spans="1:15" ht="20">
      <c r="A234" s="30" t="s">
        <v>69</v>
      </c>
      <c r="B234" s="31" t="s">
        <v>767</v>
      </c>
      <c r="C234" s="30" t="s">
        <v>1</v>
      </c>
      <c r="D234" s="30" t="s">
        <v>558</v>
      </c>
      <c r="E234" s="30">
        <v>8.7342700000000004</v>
      </c>
      <c r="F234" s="31">
        <f t="shared" si="3"/>
        <v>0.23325641148214193</v>
      </c>
      <c r="H234" s="16" t="s">
        <v>538</v>
      </c>
      <c r="I234" s="17">
        <v>8284</v>
      </c>
      <c r="J234" s="91">
        <f>Table6[[#This Row],[TRUMP VOTES]]/C489</f>
        <v>0.16899914317189604</v>
      </c>
      <c r="K234" s="18">
        <v>0.54200000000000004</v>
      </c>
      <c r="L234" s="17">
        <v>6771</v>
      </c>
      <c r="M234" s="91">
        <f>Table6[[#This Row],[BIDEN VOTES]]/C489</f>
        <v>0.13813293076012892</v>
      </c>
      <c r="N234" s="18">
        <v>0.443</v>
      </c>
      <c r="O234" s="92">
        <f>1-(Table6[[#This Row],[NbP]]+Table6[[#This Row],[NbP2]])</f>
        <v>0.69286792606797509</v>
      </c>
    </row>
    <row r="235" spans="1:15" ht="20">
      <c r="A235" s="32" t="s">
        <v>69</v>
      </c>
      <c r="B235" s="33" t="s">
        <v>768</v>
      </c>
      <c r="C235" s="32" t="s">
        <v>1</v>
      </c>
      <c r="D235" s="32" t="s">
        <v>558</v>
      </c>
      <c r="E235" s="32">
        <v>18.852789999999999</v>
      </c>
      <c r="F235" s="31">
        <f t="shared" si="3"/>
        <v>0.50348044448207008</v>
      </c>
      <c r="H235" s="16" t="s">
        <v>539</v>
      </c>
      <c r="I235" s="17">
        <v>22270</v>
      </c>
      <c r="J235" s="91">
        <f>Table6[[#This Row],[TRUMP VOTES]]/C490</f>
        <v>0.3978917277112739</v>
      </c>
      <c r="K235" s="18">
        <v>0.85699999999999998</v>
      </c>
      <c r="L235" s="17">
        <v>3516</v>
      </c>
      <c r="M235" s="91">
        <f>Table6[[#This Row],[BIDEN VOTES]]/C490</f>
        <v>6.2819367518313379E-2</v>
      </c>
      <c r="N235" s="18">
        <v>0.13500000000000001</v>
      </c>
      <c r="O235" s="92">
        <f>1-(Table6[[#This Row],[NbP]]+Table6[[#This Row],[NbP2]])</f>
        <v>0.53928890477041269</v>
      </c>
    </row>
    <row r="236" spans="1:15" ht="20">
      <c r="A236" s="30" t="s">
        <v>69</v>
      </c>
      <c r="B236" s="31" t="s">
        <v>769</v>
      </c>
      <c r="C236" s="30" t="s">
        <v>1</v>
      </c>
      <c r="D236" s="30" t="s">
        <v>558</v>
      </c>
      <c r="E236" s="30">
        <v>11.36265</v>
      </c>
      <c r="F236" s="31">
        <f t="shared" si="3"/>
        <v>0.30344962589060792</v>
      </c>
      <c r="H236" s="16" t="s">
        <v>540</v>
      </c>
      <c r="I236" s="17">
        <v>23358</v>
      </c>
      <c r="J236" s="91">
        <f>Table6[[#This Row],[TRUMP VOTES]]/C491</f>
        <v>0.25376993611750903</v>
      </c>
      <c r="K236" s="18">
        <v>0.68300000000000005</v>
      </c>
      <c r="L236" s="17">
        <v>10380</v>
      </c>
      <c r="M236" s="91">
        <f>Table6[[#This Row],[BIDEN VOTES]]/C491</f>
        <v>0.11277215244882882</v>
      </c>
      <c r="N236" s="18">
        <v>0.30399999999999999</v>
      </c>
      <c r="O236" s="92">
        <f>1-(Table6[[#This Row],[NbP]]+Table6[[#This Row],[NbP2]])</f>
        <v>0.63345791143366215</v>
      </c>
    </row>
    <row r="237" spans="1:15" ht="20">
      <c r="A237" s="32" t="s">
        <v>69</v>
      </c>
      <c r="B237" s="33" t="s">
        <v>770</v>
      </c>
      <c r="C237" s="32" t="s">
        <v>1</v>
      </c>
      <c r="D237" s="32" t="s">
        <v>558</v>
      </c>
      <c r="E237" s="32">
        <v>4.4284999999999997</v>
      </c>
      <c r="F237" s="31">
        <f t="shared" si="3"/>
        <v>0.11826701238325188</v>
      </c>
      <c r="H237" s="16" t="s">
        <v>541</v>
      </c>
      <c r="I237" s="17">
        <v>15375</v>
      </c>
      <c r="J237" s="91">
        <f>Table6[[#This Row],[TRUMP VOTES]]/C492</f>
        <v>0.21267030915001037</v>
      </c>
      <c r="K237" s="18">
        <v>0.65100000000000002</v>
      </c>
      <c r="L237" s="17">
        <v>7884</v>
      </c>
      <c r="M237" s="91">
        <f>Table6[[#This Row],[BIDEN VOTES]]/C492</f>
        <v>0.10905318486755654</v>
      </c>
      <c r="N237" s="18">
        <v>0.33400000000000002</v>
      </c>
      <c r="O237" s="92">
        <f>1-(Table6[[#This Row],[NbP]]+Table6[[#This Row],[NbP2]])</f>
        <v>0.67827650598243316</v>
      </c>
    </row>
    <row r="238" spans="1:15" ht="20">
      <c r="A238" s="30" t="s">
        <v>69</v>
      </c>
      <c r="B238" s="31" t="s">
        <v>771</v>
      </c>
      <c r="C238" s="30" t="s">
        <v>1</v>
      </c>
      <c r="D238" s="30" t="s">
        <v>558</v>
      </c>
      <c r="E238" s="30">
        <v>4.7709900000000003</v>
      </c>
      <c r="F238" s="31">
        <f t="shared" si="3"/>
        <v>0.12741351098800294</v>
      </c>
      <c r="H238" s="16" t="s">
        <v>542</v>
      </c>
      <c r="I238" s="17">
        <v>14260</v>
      </c>
      <c r="J238" s="91">
        <f>Table6[[#This Row],[TRUMP VOTES]]/C493</f>
        <v>0.26591578711818892</v>
      </c>
      <c r="K238" s="18">
        <v>0.627</v>
      </c>
      <c r="L238" s="17">
        <v>8191</v>
      </c>
      <c r="M238" s="91">
        <f>Table6[[#This Row],[BIDEN VOTES]]/C493</f>
        <v>0.15274307239025844</v>
      </c>
      <c r="N238" s="18">
        <v>0.36</v>
      </c>
      <c r="O238" s="92">
        <f>1-(Table6[[#This Row],[NbP]]+Table6[[#This Row],[NbP2]])</f>
        <v>0.58134114049155261</v>
      </c>
    </row>
    <row r="239" spans="1:15" ht="20">
      <c r="A239" s="32" t="s">
        <v>69</v>
      </c>
      <c r="B239" s="33" t="s">
        <v>772</v>
      </c>
      <c r="C239" s="32" t="s">
        <v>1</v>
      </c>
      <c r="D239" s="32" t="s">
        <v>558</v>
      </c>
      <c r="E239" s="32">
        <v>15.42351</v>
      </c>
      <c r="F239" s="31">
        <f t="shared" si="3"/>
        <v>0.41189848665760626</v>
      </c>
      <c r="H239" s="16" t="s">
        <v>543</v>
      </c>
      <c r="I239" s="17">
        <v>3241</v>
      </c>
      <c r="J239" s="91">
        <f>Table6[[#This Row],[TRUMP VOTES]]/C494</f>
        <v>0.2759472115793955</v>
      </c>
      <c r="K239" s="18">
        <v>0.79800000000000004</v>
      </c>
      <c r="L239" s="19">
        <v>764</v>
      </c>
      <c r="M239" s="91">
        <f>Table6[[#This Row],[BIDEN VOTES]]/C494</f>
        <v>6.5048957002979996E-2</v>
      </c>
      <c r="N239" s="18">
        <v>0.188</v>
      </c>
      <c r="O239" s="92">
        <f>1-(Table6[[#This Row],[NbP]]+Table6[[#This Row],[NbP2]])</f>
        <v>0.65900383141762453</v>
      </c>
    </row>
    <row r="240" spans="1:15" ht="20">
      <c r="A240" s="30" t="s">
        <v>69</v>
      </c>
      <c r="B240" s="31" t="s">
        <v>38</v>
      </c>
      <c r="C240" s="30" t="s">
        <v>1</v>
      </c>
      <c r="D240" s="30" t="s">
        <v>558</v>
      </c>
      <c r="E240" s="30">
        <v>7.9210500000000001</v>
      </c>
      <c r="F240" s="31">
        <f t="shared" si="3"/>
        <v>0.21153865156110588</v>
      </c>
      <c r="H240" s="16" t="s">
        <v>258</v>
      </c>
      <c r="I240" s="17">
        <v>12959</v>
      </c>
      <c r="J240" s="91">
        <f>Table6[[#This Row],[TRUMP VOTES]]/C495</f>
        <v>0.36737065910701627</v>
      </c>
      <c r="K240" s="18">
        <v>0.74399999999999999</v>
      </c>
      <c r="L240" s="17">
        <v>4261</v>
      </c>
      <c r="M240" s="91">
        <f>Table6[[#This Row],[BIDEN VOTES]]/C495</f>
        <v>0.1207937632884479</v>
      </c>
      <c r="N240" s="18">
        <v>0.245</v>
      </c>
      <c r="O240" s="92">
        <f>1-(Table6[[#This Row],[NbP]]+Table6[[#This Row],[NbP2]])</f>
        <v>0.5118355776045358</v>
      </c>
    </row>
    <row r="241" spans="1:15" ht="20">
      <c r="A241" s="32" t="s">
        <v>69</v>
      </c>
      <c r="B241" s="33" t="s">
        <v>773</v>
      </c>
      <c r="C241" s="32" t="s">
        <v>1</v>
      </c>
      <c r="D241" s="32" t="s">
        <v>558</v>
      </c>
      <c r="E241" s="32">
        <v>6.9629200000000004</v>
      </c>
      <c r="F241" s="31">
        <f t="shared" si="3"/>
        <v>0.18595094182309863</v>
      </c>
      <c r="H241" s="16" t="s">
        <v>544</v>
      </c>
      <c r="I241" s="17">
        <v>25898</v>
      </c>
      <c r="J241" s="91">
        <f>Table6[[#This Row],[TRUMP VOTES]]/C496</f>
        <v>9.4226969914170428E-2</v>
      </c>
      <c r="K241" s="18">
        <v>0.379</v>
      </c>
      <c r="L241" s="17">
        <v>41820</v>
      </c>
      <c r="M241" s="91">
        <f>Table6[[#This Row],[BIDEN VOTES]]/C496</f>
        <v>0.15215738210713597</v>
      </c>
      <c r="N241" s="18">
        <v>0.61099999999999999</v>
      </c>
      <c r="O241" s="92">
        <f>1-(Table6[[#This Row],[NbP]]+Table6[[#This Row],[NbP2]])</f>
        <v>0.75361564797869363</v>
      </c>
    </row>
    <row r="242" spans="1:15" ht="20">
      <c r="A242" s="30" t="s">
        <v>69</v>
      </c>
      <c r="B242" s="31" t="s">
        <v>774</v>
      </c>
      <c r="C242" s="30" t="s">
        <v>1</v>
      </c>
      <c r="D242" s="30" t="s">
        <v>558</v>
      </c>
      <c r="E242" s="30">
        <v>10.940300000000001</v>
      </c>
      <c r="F242" s="31">
        <f t="shared" si="3"/>
        <v>0.29217039529784139</v>
      </c>
      <c r="H242" s="16" t="s">
        <v>545</v>
      </c>
      <c r="I242" s="17">
        <v>11926</v>
      </c>
      <c r="J242" s="91">
        <f>Table6[[#This Row],[TRUMP VOTES]]/C497</f>
        <v>0.28618736801689382</v>
      </c>
      <c r="K242" s="18">
        <v>0.71199999999999997</v>
      </c>
      <c r="L242" s="17">
        <v>4694</v>
      </c>
      <c r="M242" s="91">
        <f>Table6[[#This Row],[BIDEN VOTES]]/C497</f>
        <v>0.11264158187751967</v>
      </c>
      <c r="N242" s="18">
        <v>0.28000000000000003</v>
      </c>
      <c r="O242" s="92">
        <f>1-(Table6[[#This Row],[NbP]]+Table6[[#This Row],[NbP2]])</f>
        <v>0.60117105010558647</v>
      </c>
    </row>
    <row r="243" spans="1:15" ht="20">
      <c r="A243" s="30" t="s">
        <v>69</v>
      </c>
      <c r="B243" s="31" t="s">
        <v>775</v>
      </c>
      <c r="C243" s="30" t="s">
        <v>1</v>
      </c>
      <c r="D243" s="30" t="s">
        <v>558</v>
      </c>
      <c r="E243" s="30">
        <v>17.837160000000001</v>
      </c>
      <c r="F243" s="31">
        <f t="shared" si="3"/>
        <v>0.4763571463479836</v>
      </c>
      <c r="H243" s="16" t="s">
        <v>546</v>
      </c>
      <c r="I243" s="17">
        <v>32069</v>
      </c>
      <c r="J243" s="91">
        <f>Table6[[#This Row],[TRUMP VOTES]]/C498</f>
        <v>0.24266386185813521</v>
      </c>
      <c r="K243" s="18">
        <v>0.69699999999999995</v>
      </c>
      <c r="L243" s="17">
        <v>13161</v>
      </c>
      <c r="M243" s="91">
        <f>Table6[[#This Row],[BIDEN VOTES]]/C498</f>
        <v>9.958835903567051E-2</v>
      </c>
      <c r="N243" s="18">
        <v>0.28599999999999998</v>
      </c>
      <c r="O243" s="92">
        <f>1-(Table6[[#This Row],[NbP]]+Table6[[#This Row],[NbP2]])</f>
        <v>0.65774777910619431</v>
      </c>
    </row>
    <row r="244" spans="1:15" ht="20">
      <c r="A244" s="32" t="s">
        <v>69</v>
      </c>
      <c r="B244" s="33" t="s">
        <v>776</v>
      </c>
      <c r="C244" s="32" t="s">
        <v>1</v>
      </c>
      <c r="D244" s="32" t="s">
        <v>558</v>
      </c>
      <c r="E244" s="32">
        <v>17.797180000000001</v>
      </c>
      <c r="F244" s="31">
        <f t="shared" si="3"/>
        <v>0.47528944505971837</v>
      </c>
      <c r="H244" s="16" t="s">
        <v>547</v>
      </c>
      <c r="I244" s="17">
        <v>3524</v>
      </c>
      <c r="J244" s="91">
        <f>Table6[[#This Row],[TRUMP VOTES]]/C499</f>
        <v>0.27710938114335143</v>
      </c>
      <c r="K244" s="18">
        <v>0.77900000000000003</v>
      </c>
      <c r="L244" s="19">
        <v>956</v>
      </c>
      <c r="M244" s="91">
        <f>Table6[[#This Row],[BIDEN VOTES]]/C499</f>
        <v>7.5174962648423369E-2</v>
      </c>
      <c r="N244" s="18">
        <v>0.21099999999999999</v>
      </c>
      <c r="O244" s="92">
        <f>1-(Table6[[#This Row],[NbP]]+Table6[[#This Row],[NbP2]])</f>
        <v>0.64771565620822513</v>
      </c>
    </row>
    <row r="245" spans="1:15" ht="20">
      <c r="A245" s="30" t="s">
        <v>69</v>
      </c>
      <c r="B245" s="31" t="s">
        <v>777</v>
      </c>
      <c r="C245" s="30" t="s">
        <v>1</v>
      </c>
      <c r="D245" s="30" t="s">
        <v>558</v>
      </c>
      <c r="E245" s="30">
        <v>19.929880000000001</v>
      </c>
      <c r="F245" s="31">
        <f t="shared" si="3"/>
        <v>0.53224508631742673</v>
      </c>
      <c r="H245" s="16" t="s">
        <v>548</v>
      </c>
      <c r="I245" s="17">
        <v>2441</v>
      </c>
      <c r="J245" s="91">
        <f>Table6[[#This Row],[TRUMP VOTES]]/C500</f>
        <v>0.11396423735935385</v>
      </c>
      <c r="K245" s="18">
        <v>0.44</v>
      </c>
      <c r="L245" s="17">
        <v>3108</v>
      </c>
      <c r="M245" s="91">
        <f>Table6[[#This Row],[BIDEN VOTES]]/C500</f>
        <v>0.14510481348335591</v>
      </c>
      <c r="N245" s="18">
        <v>0.56000000000000005</v>
      </c>
      <c r="O245" s="92">
        <f>1-(Table6[[#This Row],[NbP]]+Table6[[#This Row],[NbP2]])</f>
        <v>0.74093094915729019</v>
      </c>
    </row>
    <row r="246" spans="1:15" ht="20">
      <c r="A246" s="32" t="s">
        <v>69</v>
      </c>
      <c r="B246" s="33" t="s">
        <v>163</v>
      </c>
      <c r="C246" s="32" t="s">
        <v>1</v>
      </c>
      <c r="D246" s="32" t="s">
        <v>558</v>
      </c>
      <c r="E246" s="32">
        <v>4.6837499999999999</v>
      </c>
      <c r="F246" s="31">
        <f t="shared" si="3"/>
        <v>0.12508368956758631</v>
      </c>
      <c r="H246" s="16" t="s">
        <v>262</v>
      </c>
      <c r="I246" s="17">
        <v>139729</v>
      </c>
      <c r="J246" s="91">
        <f>Table6[[#This Row],[TRUMP VOTES]]/C501</f>
        <v>0.24495080087722221</v>
      </c>
      <c r="K246" s="18">
        <v>0.48299999999999998</v>
      </c>
      <c r="L246" s="17">
        <v>143795</v>
      </c>
      <c r="M246" s="91">
        <f>Table6[[#This Row],[BIDEN VOTES]]/C501</f>
        <v>0.25207866951126945</v>
      </c>
      <c r="N246" s="18">
        <v>0.497</v>
      </c>
      <c r="O246" s="92">
        <f>1-(Table6[[#This Row],[NbP]]+Table6[[#This Row],[NbP2]])</f>
        <v>0.50297052961150834</v>
      </c>
    </row>
    <row r="247" spans="1:15" ht="20">
      <c r="A247" s="30" t="s">
        <v>69</v>
      </c>
      <c r="B247" s="31" t="s">
        <v>164</v>
      </c>
      <c r="C247" s="30" t="s">
        <v>1</v>
      </c>
      <c r="D247" s="30" t="s">
        <v>558</v>
      </c>
      <c r="E247" s="30">
        <v>6.3822299999999998</v>
      </c>
      <c r="F247" s="31">
        <f t="shared" si="3"/>
        <v>0.17044310137580709</v>
      </c>
      <c r="H247" s="16" t="s">
        <v>263</v>
      </c>
      <c r="I247" s="17">
        <v>18463</v>
      </c>
      <c r="J247" s="91">
        <f>Table6[[#This Row],[TRUMP VOTES]]/C502</f>
        <v>0.36844941129515069</v>
      </c>
      <c r="K247" s="18">
        <v>0.73799999999999999</v>
      </c>
      <c r="L247" s="17">
        <v>6350</v>
      </c>
      <c r="M247" s="91">
        <f>Table6[[#This Row],[BIDEN VOTES]]/C502</f>
        <v>0.12672121333067252</v>
      </c>
      <c r="N247" s="18">
        <v>0.254</v>
      </c>
      <c r="O247" s="92">
        <f>1-(Table6[[#This Row],[NbP]]+Table6[[#This Row],[NbP2]])</f>
        <v>0.50482937537417683</v>
      </c>
    </row>
    <row r="248" spans="1:15" ht="20">
      <c r="A248" s="32" t="s">
        <v>69</v>
      </c>
      <c r="B248" s="33" t="s">
        <v>778</v>
      </c>
      <c r="C248" s="32" t="s">
        <v>1</v>
      </c>
      <c r="D248" s="32" t="s">
        <v>558</v>
      </c>
      <c r="E248" s="32">
        <v>14.639250000000001</v>
      </c>
      <c r="F248" s="31">
        <f t="shared" si="3"/>
        <v>0.39095412917049122</v>
      </c>
      <c r="H248" s="16" t="s">
        <v>549</v>
      </c>
      <c r="I248" s="17">
        <v>1753</v>
      </c>
      <c r="J248" s="91">
        <f>Table6[[#This Row],[TRUMP VOTES]]/C503</f>
        <v>0.22411148043978521</v>
      </c>
      <c r="K248" s="18">
        <v>0.82499999999999996</v>
      </c>
      <c r="L248" s="19">
        <v>358</v>
      </c>
      <c r="M248" s="91">
        <f>Table6[[#This Row],[BIDEN VOTES]]/C503</f>
        <v>4.576834569163897E-2</v>
      </c>
      <c r="N248" s="18">
        <v>0.16800000000000001</v>
      </c>
      <c r="O248" s="92">
        <f>1-(Table6[[#This Row],[NbP]]+Table6[[#This Row],[NbP2]])</f>
        <v>0.73012017386857586</v>
      </c>
    </row>
    <row r="249" spans="1:15" ht="20">
      <c r="A249" s="30" t="s">
        <v>69</v>
      </c>
      <c r="B249" s="31" t="s">
        <v>779</v>
      </c>
      <c r="C249" s="30" t="s">
        <v>1</v>
      </c>
      <c r="D249" s="30" t="s">
        <v>558</v>
      </c>
      <c r="E249" s="30">
        <v>14.60788</v>
      </c>
      <c r="F249" s="31">
        <f t="shared" si="3"/>
        <v>0.39011636555336066</v>
      </c>
      <c r="H249" s="16" t="s">
        <v>550</v>
      </c>
      <c r="I249" s="17">
        <v>27032</v>
      </c>
      <c r="J249" s="91">
        <f>Table6[[#This Row],[TRUMP VOTES]]/C504</f>
        <v>0.39820870897413235</v>
      </c>
      <c r="K249" s="18">
        <v>0.83499999999999996</v>
      </c>
      <c r="L249" s="17">
        <v>4973</v>
      </c>
      <c r="M249" s="91">
        <f>Table6[[#This Row],[BIDEN VOTES]]/C504</f>
        <v>7.3257321312827764E-2</v>
      </c>
      <c r="N249" s="18">
        <v>0.154</v>
      </c>
      <c r="O249" s="92">
        <f>1-(Table6[[#This Row],[NbP]]+Table6[[#This Row],[NbP2]])</f>
        <v>0.5285339697130399</v>
      </c>
    </row>
    <row r="250" spans="1:15" ht="20">
      <c r="A250" s="32" t="s">
        <v>69</v>
      </c>
      <c r="B250" s="33" t="s">
        <v>780</v>
      </c>
      <c r="C250" s="32" t="s">
        <v>1</v>
      </c>
      <c r="D250" s="32" t="s">
        <v>558</v>
      </c>
      <c r="E250" s="32">
        <v>13.2768</v>
      </c>
      <c r="F250" s="31">
        <f t="shared" si="3"/>
        <v>0.35456869594895757</v>
      </c>
      <c r="H250" s="16" t="s">
        <v>551</v>
      </c>
      <c r="I250" s="17">
        <v>19049</v>
      </c>
      <c r="J250" s="91">
        <f>Table6[[#This Row],[TRUMP VOTES]]/C505</f>
        <v>0.42280374661517289</v>
      </c>
      <c r="K250" s="18">
        <v>0.83599999999999997</v>
      </c>
      <c r="L250" s="17">
        <v>3509</v>
      </c>
      <c r="M250" s="91">
        <f>Table6[[#This Row],[BIDEN VOTES]]/C505</f>
        <v>7.788431659786034E-2</v>
      </c>
      <c r="N250" s="18">
        <v>0.154</v>
      </c>
      <c r="O250" s="92">
        <f>1-(Table6[[#This Row],[NbP]]+Table6[[#This Row],[NbP2]])</f>
        <v>0.49931193678696673</v>
      </c>
    </row>
    <row r="251" spans="1:15" ht="20">
      <c r="A251" s="30" t="s">
        <v>69</v>
      </c>
      <c r="B251" s="31" t="s">
        <v>781</v>
      </c>
      <c r="C251" s="30" t="s">
        <v>1</v>
      </c>
      <c r="D251" s="30" t="s">
        <v>558</v>
      </c>
      <c r="E251" s="30">
        <v>3.44116</v>
      </c>
      <c r="F251" s="31">
        <f t="shared" si="3"/>
        <v>9.1899223740036368E-2</v>
      </c>
      <c r="H251" s="16" t="s">
        <v>552</v>
      </c>
      <c r="I251" s="17">
        <v>2174</v>
      </c>
      <c r="J251" s="91">
        <f>Table6[[#This Row],[TRUMP VOTES]]/C506</f>
        <v>0.25243845796562936</v>
      </c>
      <c r="K251" s="18">
        <v>0.82599999999999996</v>
      </c>
      <c r="L251" s="19">
        <v>420</v>
      </c>
      <c r="M251" s="91">
        <f>Table6[[#This Row],[BIDEN VOTES]]/C506</f>
        <v>4.8769159312587088E-2</v>
      </c>
      <c r="N251" s="18">
        <v>0.16</v>
      </c>
      <c r="O251" s="92">
        <f>1-(Table6[[#This Row],[NbP]]+Table6[[#This Row],[NbP2]])</f>
        <v>0.69879238272178357</v>
      </c>
    </row>
    <row r="252" spans="1:15" ht="20">
      <c r="A252" s="32" t="s">
        <v>69</v>
      </c>
      <c r="B252" s="33" t="s">
        <v>782</v>
      </c>
      <c r="C252" s="32" t="s">
        <v>1</v>
      </c>
      <c r="D252" s="32" t="s">
        <v>558</v>
      </c>
      <c r="E252" s="32">
        <v>14.103730000000001</v>
      </c>
      <c r="F252" s="31">
        <f t="shared" si="3"/>
        <v>0.37665259355538921</v>
      </c>
      <c r="H252" s="16" t="s">
        <v>553</v>
      </c>
      <c r="I252" s="17">
        <v>7110</v>
      </c>
      <c r="J252" s="91">
        <f>Table6[[#This Row],[TRUMP VOTES]]/C507</f>
        <v>0.39585769166527474</v>
      </c>
      <c r="K252" s="18">
        <v>0.86299999999999999</v>
      </c>
      <c r="L252" s="17">
        <v>1034</v>
      </c>
      <c r="M252" s="91">
        <f>Table6[[#This Row],[BIDEN VOTES]]/C507</f>
        <v>5.7569177662713654E-2</v>
      </c>
      <c r="N252" s="18">
        <v>0.126</v>
      </c>
      <c r="O252" s="92">
        <f>1-(Table6[[#This Row],[NbP]]+Table6[[#This Row],[NbP2]])</f>
        <v>0.54657313067201163</v>
      </c>
    </row>
    <row r="253" spans="1:15" ht="20">
      <c r="A253" s="30" t="s">
        <v>69</v>
      </c>
      <c r="B253" s="31" t="s">
        <v>783</v>
      </c>
      <c r="C253" s="30" t="s">
        <v>1</v>
      </c>
      <c r="D253" s="30" t="s">
        <v>558</v>
      </c>
      <c r="E253" s="30">
        <v>7.3656800000000002</v>
      </c>
      <c r="F253" s="31">
        <f t="shared" si="3"/>
        <v>0.1967070041257922</v>
      </c>
      <c r="H253" s="16" t="s">
        <v>554</v>
      </c>
      <c r="I253" s="17">
        <v>2033</v>
      </c>
      <c r="J253" s="91">
        <f>Table6[[#This Row],[TRUMP VOTES]]/C508</f>
        <v>0.14273678298111353</v>
      </c>
      <c r="K253" s="18">
        <v>0.52500000000000002</v>
      </c>
      <c r="L253" s="17">
        <v>1826</v>
      </c>
      <c r="M253" s="91">
        <f>Table6[[#This Row],[BIDEN VOTES]]/C508</f>
        <v>0.12820332795057221</v>
      </c>
      <c r="N253" s="18">
        <v>0.47099999999999997</v>
      </c>
      <c r="O253" s="92">
        <f>1-(Table6[[#This Row],[NbP]]+Table6[[#This Row],[NbP2]])</f>
        <v>0.7290598890683142</v>
      </c>
    </row>
    <row r="254" spans="1:15" ht="20">
      <c r="A254" s="34" t="s">
        <v>69</v>
      </c>
      <c r="B254" s="35" t="s">
        <v>784</v>
      </c>
      <c r="C254" s="34" t="s">
        <v>1</v>
      </c>
      <c r="D254" s="34" t="s">
        <v>558</v>
      </c>
      <c r="E254" s="34">
        <v>12.285640000000001</v>
      </c>
      <c r="F254" s="31">
        <f t="shared" si="3"/>
        <v>0.32809889082447213</v>
      </c>
      <c r="H254" s="16" t="s">
        <v>555</v>
      </c>
      <c r="I254" s="17">
        <v>1490</v>
      </c>
      <c r="J254" s="91">
        <f>Table6[[#This Row],[TRUMP VOTES]]/C509</f>
        <v>0.12489522212908634</v>
      </c>
      <c r="K254" s="18">
        <v>0.34</v>
      </c>
      <c r="L254" s="17">
        <v>2864</v>
      </c>
      <c r="M254" s="91">
        <f>Table6[[#This Row],[BIDEN VOTES]]/C509</f>
        <v>0.24006705783738475</v>
      </c>
      <c r="N254" s="18">
        <v>0.65400000000000003</v>
      </c>
      <c r="O254" s="92">
        <f>1-(Table6[[#This Row],[NbP]]+Table6[[#This Row],[NbP2]])</f>
        <v>0.63503772003352887</v>
      </c>
    </row>
    <row r="256" spans="1:15" ht="21">
      <c r="A256" s="77" t="s">
        <v>1670</v>
      </c>
      <c r="B256" s="77" t="s">
        <v>69</v>
      </c>
      <c r="C256" s="77" t="s">
        <v>54</v>
      </c>
    </row>
    <row r="257" spans="1:3" ht="21">
      <c r="A257" s="52">
        <v>58</v>
      </c>
      <c r="B257" s="53" t="s">
        <v>170</v>
      </c>
      <c r="C257" s="54">
        <v>57917</v>
      </c>
    </row>
    <row r="258" spans="1:3" ht="21">
      <c r="A258" s="52">
        <v>131</v>
      </c>
      <c r="B258" s="52" t="s">
        <v>331</v>
      </c>
      <c r="C258" s="54">
        <v>18227</v>
      </c>
    </row>
    <row r="259" spans="1:3" ht="21">
      <c r="A259" s="52">
        <v>44</v>
      </c>
      <c r="B259" s="53" t="s">
        <v>332</v>
      </c>
      <c r="C259" s="54">
        <v>87119</v>
      </c>
    </row>
    <row r="260" spans="1:3" ht="21">
      <c r="A260" s="52">
        <v>104</v>
      </c>
      <c r="B260" s="52" t="s">
        <v>333</v>
      </c>
      <c r="C260" s="54">
        <v>24220</v>
      </c>
    </row>
    <row r="261" spans="1:3" ht="21">
      <c r="A261" s="52">
        <v>174</v>
      </c>
      <c r="B261" s="52" t="s">
        <v>334</v>
      </c>
      <c r="C261" s="54">
        <v>8754</v>
      </c>
    </row>
    <row r="262" spans="1:3" ht="21">
      <c r="A262" s="52">
        <v>235</v>
      </c>
      <c r="B262" s="52" t="s">
        <v>335</v>
      </c>
      <c r="C262" s="54">
        <v>1950</v>
      </c>
    </row>
    <row r="263" spans="1:3" ht="21">
      <c r="A263" s="52">
        <v>66</v>
      </c>
      <c r="B263" s="53" t="s">
        <v>336</v>
      </c>
      <c r="C263" s="54">
        <v>50194</v>
      </c>
    </row>
    <row r="264" spans="1:3" ht="21">
      <c r="A264" s="52">
        <v>95</v>
      </c>
      <c r="B264" s="53" t="s">
        <v>337</v>
      </c>
      <c r="C264" s="54">
        <v>29892</v>
      </c>
    </row>
    <row r="265" spans="1:3" ht="21">
      <c r="A265" s="52">
        <v>190</v>
      </c>
      <c r="B265" s="52" t="s">
        <v>338</v>
      </c>
      <c r="C265" s="54">
        <v>6916</v>
      </c>
    </row>
    <row r="266" spans="1:3" ht="21">
      <c r="A266" s="52">
        <v>109</v>
      </c>
      <c r="B266" s="52" t="s">
        <v>339</v>
      </c>
      <c r="C266" s="54">
        <v>22770</v>
      </c>
    </row>
    <row r="267" spans="1:3" ht="21">
      <c r="A267" s="52">
        <v>45</v>
      </c>
      <c r="B267" s="53" t="s">
        <v>340</v>
      </c>
      <c r="C267" s="54">
        <v>86839</v>
      </c>
    </row>
    <row r="268" spans="1:3" ht="21">
      <c r="A268" s="52">
        <v>217</v>
      </c>
      <c r="B268" s="52" t="s">
        <v>341</v>
      </c>
      <c r="C268" s="54">
        <v>3560</v>
      </c>
    </row>
    <row r="269" spans="1:3" ht="21">
      <c r="A269" s="52">
        <v>92</v>
      </c>
      <c r="B269" s="53" t="s">
        <v>342</v>
      </c>
      <c r="C269" s="54">
        <v>32609</v>
      </c>
    </row>
    <row r="270" spans="1:3" ht="21">
      <c r="A270" s="52">
        <v>16</v>
      </c>
      <c r="B270" s="53" t="s">
        <v>343</v>
      </c>
      <c r="C270" s="54">
        <v>355700</v>
      </c>
    </row>
    <row r="271" spans="1:3" ht="21">
      <c r="A271" s="52">
        <v>4</v>
      </c>
      <c r="B271" s="53" t="s">
        <v>344</v>
      </c>
      <c r="C271" s="54">
        <v>1978826</v>
      </c>
    </row>
    <row r="272" spans="1:3" ht="21">
      <c r="A272" s="52">
        <v>160</v>
      </c>
      <c r="B272" s="52" t="s">
        <v>345</v>
      </c>
      <c r="C272" s="54">
        <v>11733</v>
      </c>
    </row>
    <row r="273" spans="1:3" ht="21">
      <c r="A273" s="52">
        <v>250</v>
      </c>
      <c r="B273" s="52" t="s">
        <v>346</v>
      </c>
      <c r="C273" s="52">
        <v>653</v>
      </c>
    </row>
    <row r="274" spans="1:3" ht="21">
      <c r="A274" s="52">
        <v>128</v>
      </c>
      <c r="B274" s="52" t="s">
        <v>347</v>
      </c>
      <c r="C274" s="54">
        <v>18428</v>
      </c>
    </row>
    <row r="275" spans="1:3" ht="21">
      <c r="A275" s="52">
        <v>42</v>
      </c>
      <c r="B275" s="53" t="s">
        <v>348</v>
      </c>
      <c r="C275" s="54">
        <v>93622</v>
      </c>
    </row>
    <row r="276" spans="1:3" ht="21">
      <c r="A276" s="52">
        <v>14</v>
      </c>
      <c r="B276" s="53" t="s">
        <v>349</v>
      </c>
      <c r="C276" s="54">
        <v>368062</v>
      </c>
    </row>
    <row r="277" spans="1:3" ht="21">
      <c r="A277" s="52">
        <v>23</v>
      </c>
      <c r="B277" s="53" t="s">
        <v>350</v>
      </c>
      <c r="C277" s="54">
        <v>226370</v>
      </c>
    </row>
    <row r="278" spans="1:3" ht="21">
      <c r="A278" s="52">
        <v>171</v>
      </c>
      <c r="B278" s="52" t="s">
        <v>351</v>
      </c>
      <c r="C278" s="54">
        <v>9231</v>
      </c>
    </row>
    <row r="279" spans="1:3" ht="21">
      <c r="A279" s="52">
        <v>243</v>
      </c>
      <c r="B279" s="52" t="s">
        <v>352</v>
      </c>
      <c r="C279" s="54">
        <v>1348</v>
      </c>
    </row>
    <row r="280" spans="1:3" ht="21">
      <c r="A280" s="52">
        <v>188</v>
      </c>
      <c r="B280" s="52" t="s">
        <v>353</v>
      </c>
      <c r="C280" s="54">
        <v>7100</v>
      </c>
    </row>
    <row r="281" spans="1:3" ht="21">
      <c r="A281" s="52">
        <v>82</v>
      </c>
      <c r="B281" s="53" t="s">
        <v>354</v>
      </c>
      <c r="C281" s="54">
        <v>37805</v>
      </c>
    </row>
    <row r="282" spans="1:3" ht="21">
      <c r="A282" s="52">
        <v>130</v>
      </c>
      <c r="B282" s="52" t="s">
        <v>355</v>
      </c>
      <c r="C282" s="54">
        <v>18237</v>
      </c>
    </row>
    <row r="283" spans="1:3" ht="21">
      <c r="A283" s="52">
        <v>72</v>
      </c>
      <c r="B283" s="53" t="s">
        <v>356</v>
      </c>
      <c r="C283" s="54">
        <v>47548</v>
      </c>
    </row>
    <row r="284" spans="1:3" ht="21">
      <c r="A284" s="52">
        <v>75</v>
      </c>
      <c r="B284" s="53" t="s">
        <v>357</v>
      </c>
      <c r="C284" s="54">
        <v>42817</v>
      </c>
    </row>
    <row r="285" spans="1:3" ht="21">
      <c r="A285" s="52">
        <v>112</v>
      </c>
      <c r="B285" s="52" t="s">
        <v>358</v>
      </c>
      <c r="C285" s="54">
        <v>21470</v>
      </c>
    </row>
    <row r="286" spans="1:3" ht="21">
      <c r="A286" s="52">
        <v>146</v>
      </c>
      <c r="B286" s="52" t="s">
        <v>359</v>
      </c>
      <c r="C286" s="54">
        <v>13959</v>
      </c>
    </row>
    <row r="287" spans="1:3" ht="21">
      <c r="A287" s="52">
        <v>13</v>
      </c>
      <c r="B287" s="53" t="s">
        <v>360</v>
      </c>
      <c r="C287" s="54">
        <v>422135</v>
      </c>
    </row>
    <row r="288" spans="1:3" ht="21">
      <c r="A288" s="52">
        <v>150</v>
      </c>
      <c r="B288" s="52" t="s">
        <v>361</v>
      </c>
      <c r="C288" s="54">
        <v>12938</v>
      </c>
    </row>
    <row r="289" spans="1:3" ht="21">
      <c r="A289" s="52">
        <v>194</v>
      </c>
      <c r="B289" s="52" t="s">
        <v>362</v>
      </c>
      <c r="C289" s="54">
        <v>5957</v>
      </c>
    </row>
    <row r="290" spans="1:3" ht="21">
      <c r="A290" s="52">
        <v>94</v>
      </c>
      <c r="B290" s="53" t="s">
        <v>363</v>
      </c>
      <c r="C290" s="54">
        <v>30002</v>
      </c>
    </row>
    <row r="291" spans="1:3" ht="21">
      <c r="A291" s="52">
        <v>183</v>
      </c>
      <c r="B291" s="52" t="s">
        <v>364</v>
      </c>
      <c r="C291" s="54">
        <v>7561</v>
      </c>
    </row>
    <row r="292" spans="1:3" ht="21">
      <c r="A292" s="52">
        <v>76</v>
      </c>
      <c r="B292" s="53" t="s">
        <v>365</v>
      </c>
      <c r="C292" s="54">
        <v>42571</v>
      </c>
    </row>
    <row r="293" spans="1:3" ht="21">
      <c r="A293" s="52">
        <v>63</v>
      </c>
      <c r="B293" s="53" t="s">
        <v>366</v>
      </c>
      <c r="C293" s="54">
        <v>52341</v>
      </c>
    </row>
    <row r="294" spans="1:3" ht="21">
      <c r="A294" s="52">
        <v>187</v>
      </c>
      <c r="B294" s="52" t="s">
        <v>367</v>
      </c>
      <c r="C294" s="54">
        <v>7219</v>
      </c>
    </row>
    <row r="295" spans="1:3" ht="21">
      <c r="A295" s="52">
        <v>164</v>
      </c>
      <c r="B295" s="52" t="s">
        <v>183</v>
      </c>
      <c r="C295" s="54">
        <v>10444</v>
      </c>
    </row>
    <row r="296" spans="1:3" ht="21">
      <c r="A296" s="52">
        <v>229</v>
      </c>
      <c r="B296" s="52" t="s">
        <v>368</v>
      </c>
      <c r="C296" s="54">
        <v>2860</v>
      </c>
    </row>
    <row r="297" spans="1:3" ht="21">
      <c r="A297" s="52">
        <v>222</v>
      </c>
      <c r="B297" s="52" t="s">
        <v>369</v>
      </c>
      <c r="C297" s="54">
        <v>3298</v>
      </c>
    </row>
    <row r="298" spans="1:3" ht="21">
      <c r="A298" s="52">
        <v>177</v>
      </c>
      <c r="B298" s="52" t="s">
        <v>370</v>
      </c>
      <c r="C298" s="54">
        <v>8281</v>
      </c>
    </row>
    <row r="299" spans="1:3" ht="21">
      <c r="A299" s="52">
        <v>6</v>
      </c>
      <c r="B299" s="53" t="s">
        <v>371</v>
      </c>
      <c r="C299" s="54">
        <v>1006038</v>
      </c>
    </row>
    <row r="300" spans="1:3" ht="21">
      <c r="A300" s="52">
        <v>227</v>
      </c>
      <c r="B300" s="52" t="s">
        <v>372</v>
      </c>
      <c r="C300" s="54">
        <v>2939</v>
      </c>
    </row>
    <row r="301" spans="1:3" ht="21">
      <c r="A301" s="52">
        <v>115</v>
      </c>
      <c r="B301" s="52" t="s">
        <v>373</v>
      </c>
      <c r="C301" s="54">
        <v>21357</v>
      </c>
    </row>
    <row r="302" spans="1:3" ht="21">
      <c r="A302" s="52">
        <v>30</v>
      </c>
      <c r="B302" s="53" t="s">
        <v>374</v>
      </c>
      <c r="C302" s="54">
        <v>148921</v>
      </c>
    </row>
    <row r="303" spans="1:3" ht="21">
      <c r="A303" s="52">
        <v>148</v>
      </c>
      <c r="B303" s="52" t="s">
        <v>375</v>
      </c>
      <c r="C303" s="54">
        <v>13597</v>
      </c>
    </row>
    <row r="304" spans="1:3" ht="21">
      <c r="A304" s="52">
        <v>226</v>
      </c>
      <c r="B304" s="52" t="s">
        <v>376</v>
      </c>
      <c r="C304" s="54">
        <v>3018</v>
      </c>
    </row>
    <row r="305" spans="1:3" ht="21">
      <c r="A305" s="52">
        <v>81</v>
      </c>
      <c r="B305" s="53" t="s">
        <v>377</v>
      </c>
      <c r="C305" s="54">
        <v>40428</v>
      </c>
    </row>
    <row r="306" spans="1:3" ht="21">
      <c r="A306" s="52">
        <v>49</v>
      </c>
      <c r="B306" s="53" t="s">
        <v>378</v>
      </c>
      <c r="C306" s="54">
        <v>75576</v>
      </c>
    </row>
    <row r="307" spans="1:3" ht="21">
      <c r="A307" s="52">
        <v>237</v>
      </c>
      <c r="B307" s="52" t="s">
        <v>379</v>
      </c>
      <c r="C307" s="54">
        <v>1624</v>
      </c>
    </row>
    <row r="308" spans="1:3" ht="21">
      <c r="A308" s="52">
        <v>205</v>
      </c>
      <c r="B308" s="52" t="s">
        <v>380</v>
      </c>
      <c r="C308" s="54">
        <v>4739</v>
      </c>
    </row>
    <row r="309" spans="1:3" ht="21">
      <c r="A309" s="52">
        <v>219</v>
      </c>
      <c r="B309" s="52" t="s">
        <v>186</v>
      </c>
      <c r="C309" s="54">
        <v>3393</v>
      </c>
    </row>
    <row r="310" spans="1:3" ht="21">
      <c r="A310" s="52">
        <v>197</v>
      </c>
      <c r="B310" s="52" t="s">
        <v>381</v>
      </c>
      <c r="C310" s="54">
        <v>5753</v>
      </c>
    </row>
    <row r="311" spans="1:3" ht="21">
      <c r="A311" s="52">
        <v>231</v>
      </c>
      <c r="B311" s="52" t="s">
        <v>382</v>
      </c>
      <c r="C311" s="54">
        <v>2183</v>
      </c>
    </row>
    <row r="312" spans="1:3" ht="21">
      <c r="A312" s="52">
        <v>186</v>
      </c>
      <c r="B312" s="52" t="s">
        <v>383</v>
      </c>
      <c r="C312" s="54">
        <v>7272</v>
      </c>
    </row>
    <row r="313" spans="1:3" ht="21">
      <c r="A313" s="52">
        <v>2</v>
      </c>
      <c r="B313" s="53" t="s">
        <v>384</v>
      </c>
      <c r="C313" s="54">
        <v>2622634</v>
      </c>
    </row>
    <row r="314" spans="1:3" ht="21">
      <c r="A314" s="52">
        <v>151</v>
      </c>
      <c r="B314" s="52" t="s">
        <v>385</v>
      </c>
      <c r="C314" s="54">
        <v>12849</v>
      </c>
    </row>
    <row r="315" spans="1:3" ht="21">
      <c r="A315" s="52">
        <v>127</v>
      </c>
      <c r="B315" s="52" t="s">
        <v>386</v>
      </c>
      <c r="C315" s="54">
        <v>18617</v>
      </c>
    </row>
    <row r="316" spans="1:3" ht="21">
      <c r="A316" s="52">
        <v>202</v>
      </c>
      <c r="B316" s="52" t="s">
        <v>387</v>
      </c>
      <c r="C316" s="54">
        <v>5277</v>
      </c>
    </row>
    <row r="317" spans="1:3" ht="21">
      <c r="A317" s="52">
        <v>7</v>
      </c>
      <c r="B317" s="53" t="s">
        <v>388</v>
      </c>
      <c r="C317" s="54">
        <v>861690</v>
      </c>
    </row>
    <row r="318" spans="1:3" ht="21">
      <c r="A318" s="52">
        <v>121</v>
      </c>
      <c r="B318" s="52" t="s">
        <v>389</v>
      </c>
      <c r="C318" s="54">
        <v>20217</v>
      </c>
    </row>
    <row r="319" spans="1:3" ht="21">
      <c r="A319" s="52">
        <v>232</v>
      </c>
      <c r="B319" s="52" t="s">
        <v>390</v>
      </c>
      <c r="C319" s="54">
        <v>2182</v>
      </c>
    </row>
    <row r="320" spans="1:3" ht="21">
      <c r="A320" s="52">
        <v>166</v>
      </c>
      <c r="B320" s="52" t="s">
        <v>391</v>
      </c>
      <c r="C320" s="54">
        <v>10232</v>
      </c>
    </row>
    <row r="321" spans="1:3" ht="21">
      <c r="A321" s="52">
        <v>220</v>
      </c>
      <c r="B321" s="52" t="s">
        <v>392</v>
      </c>
      <c r="C321" s="54">
        <v>3317</v>
      </c>
    </row>
    <row r="322" spans="1:3" ht="21">
      <c r="A322" s="52">
        <v>161</v>
      </c>
      <c r="B322" s="52" t="s">
        <v>393</v>
      </c>
      <c r="C322" s="54">
        <v>11194</v>
      </c>
    </row>
    <row r="323" spans="1:3" ht="21">
      <c r="A323" s="52">
        <v>129</v>
      </c>
      <c r="B323" s="52" t="s">
        <v>394</v>
      </c>
      <c r="C323" s="54">
        <v>18289</v>
      </c>
    </row>
    <row r="324" spans="1:3" ht="21">
      <c r="A324" s="52">
        <v>29</v>
      </c>
      <c r="B324" s="53" t="s">
        <v>395</v>
      </c>
      <c r="C324" s="54">
        <v>162067</v>
      </c>
    </row>
    <row r="325" spans="1:3" ht="21">
      <c r="A325" s="52">
        <v>236</v>
      </c>
      <c r="B325" s="52" t="s">
        <v>396</v>
      </c>
      <c r="C325" s="54">
        <v>1944</v>
      </c>
    </row>
    <row r="326" spans="1:3" ht="21">
      <c r="A326" s="52">
        <v>9</v>
      </c>
      <c r="B326" s="53" t="s">
        <v>398</v>
      </c>
      <c r="C326" s="54">
        <v>836915</v>
      </c>
    </row>
    <row r="327" spans="1:3" ht="21">
      <c r="A327" s="52">
        <v>25</v>
      </c>
      <c r="B327" s="53" t="s">
        <v>397</v>
      </c>
      <c r="C327" s="54">
        <v>179484</v>
      </c>
    </row>
    <row r="328" spans="1:3" ht="21">
      <c r="A328" s="52">
        <v>77</v>
      </c>
      <c r="B328" s="53" t="s">
        <v>399</v>
      </c>
      <c r="C328" s="54">
        <v>42226</v>
      </c>
    </row>
    <row r="329" spans="1:3" ht="21">
      <c r="A329" s="52">
        <v>134</v>
      </c>
      <c r="B329" s="52" t="s">
        <v>400</v>
      </c>
      <c r="C329" s="54">
        <v>17281</v>
      </c>
    </row>
    <row r="330" spans="1:3" ht="21">
      <c r="A330" s="52">
        <v>89</v>
      </c>
      <c r="B330" s="53" t="s">
        <v>401</v>
      </c>
      <c r="C330" s="54">
        <v>35046</v>
      </c>
    </row>
    <row r="331" spans="1:3" ht="21">
      <c r="A331" s="52">
        <v>102</v>
      </c>
      <c r="B331" s="52" t="s">
        <v>193</v>
      </c>
      <c r="C331" s="54">
        <v>25247</v>
      </c>
    </row>
    <row r="332" spans="1:3" ht="21">
      <c r="A332" s="52">
        <v>211</v>
      </c>
      <c r="B332" s="52" t="s">
        <v>402</v>
      </c>
      <c r="C332" s="54">
        <v>3827</v>
      </c>
    </row>
    <row r="333" spans="1:3" ht="21">
      <c r="A333" s="52">
        <v>196</v>
      </c>
      <c r="B333" s="52" t="s">
        <v>403</v>
      </c>
      <c r="C333" s="54">
        <v>5782</v>
      </c>
    </row>
    <row r="334" spans="1:3" ht="21">
      <c r="A334" s="52">
        <v>245</v>
      </c>
      <c r="B334" s="52" t="s">
        <v>404</v>
      </c>
      <c r="C334" s="54">
        <v>1207</v>
      </c>
    </row>
    <row r="335" spans="1:3" ht="21">
      <c r="A335" s="52">
        <v>10</v>
      </c>
      <c r="B335" s="53" t="s">
        <v>405</v>
      </c>
      <c r="C335" s="54">
        <v>790892</v>
      </c>
    </row>
    <row r="336" spans="1:3" ht="21">
      <c r="A336" s="52">
        <v>162</v>
      </c>
      <c r="B336" s="52" t="s">
        <v>195</v>
      </c>
      <c r="C336" s="54">
        <v>10767</v>
      </c>
    </row>
    <row r="337" spans="1:3" ht="21">
      <c r="A337" s="52">
        <v>125</v>
      </c>
      <c r="B337" s="52" t="s">
        <v>406</v>
      </c>
      <c r="C337" s="54">
        <v>19744</v>
      </c>
    </row>
    <row r="338" spans="1:3" ht="21">
      <c r="A338" s="52">
        <v>123</v>
      </c>
      <c r="B338" s="52" t="s">
        <v>407</v>
      </c>
      <c r="C338" s="54">
        <v>20013</v>
      </c>
    </row>
    <row r="339" spans="1:3" ht="21">
      <c r="A339" s="52">
        <v>119</v>
      </c>
      <c r="B339" s="52" t="s">
        <v>408</v>
      </c>
      <c r="C339" s="54">
        <v>21077</v>
      </c>
    </row>
    <row r="340" spans="1:3" ht="21">
      <c r="A340" s="52">
        <v>17</v>
      </c>
      <c r="B340" s="53" t="s">
        <v>409</v>
      </c>
      <c r="C340" s="54">
        <v>337600</v>
      </c>
    </row>
    <row r="341" spans="1:3" ht="21">
      <c r="A341" s="52">
        <v>192</v>
      </c>
      <c r="B341" s="52" t="s">
        <v>410</v>
      </c>
      <c r="C341" s="54">
        <v>6028</v>
      </c>
    </row>
    <row r="342" spans="1:3" ht="21">
      <c r="A342" s="52">
        <v>100</v>
      </c>
      <c r="B342" s="53" t="s">
        <v>411</v>
      </c>
      <c r="C342" s="54">
        <v>26668</v>
      </c>
    </row>
    <row r="343" spans="1:3" ht="21">
      <c r="A343" s="52">
        <v>240</v>
      </c>
      <c r="B343" s="52" t="s">
        <v>412</v>
      </c>
      <c r="C343" s="54">
        <v>1447</v>
      </c>
    </row>
    <row r="344" spans="1:3" ht="21">
      <c r="A344" s="52">
        <v>182</v>
      </c>
      <c r="B344" s="52" t="s">
        <v>413</v>
      </c>
      <c r="C344" s="54">
        <v>7578</v>
      </c>
    </row>
    <row r="345" spans="1:3" ht="21">
      <c r="A345" s="52">
        <v>120</v>
      </c>
      <c r="B345" s="52" t="s">
        <v>414</v>
      </c>
      <c r="C345" s="54">
        <v>20828</v>
      </c>
    </row>
    <row r="346" spans="1:3" ht="21">
      <c r="A346" s="52">
        <v>110</v>
      </c>
      <c r="B346" s="52" t="s">
        <v>415</v>
      </c>
      <c r="C346" s="54">
        <v>22063</v>
      </c>
    </row>
    <row r="347" spans="1:3" ht="21">
      <c r="A347" s="52">
        <v>34</v>
      </c>
      <c r="B347" s="53" t="s">
        <v>416</v>
      </c>
      <c r="C347" s="54">
        <v>133527</v>
      </c>
    </row>
    <row r="348" spans="1:3" ht="21">
      <c r="A348" s="52">
        <v>37</v>
      </c>
      <c r="B348" s="53" t="s">
        <v>417</v>
      </c>
      <c r="C348" s="54">
        <v>123633</v>
      </c>
    </row>
    <row r="349" spans="1:3" ht="21">
      <c r="A349" s="52">
        <v>98</v>
      </c>
      <c r="B349" s="53" t="s">
        <v>418</v>
      </c>
      <c r="C349" s="54">
        <v>28447</v>
      </c>
    </row>
    <row r="350" spans="1:3" ht="21">
      <c r="A350" s="52">
        <v>28</v>
      </c>
      <c r="B350" s="53" t="s">
        <v>419</v>
      </c>
      <c r="C350" s="54">
        <v>163030</v>
      </c>
    </row>
    <row r="351" spans="1:3" ht="21">
      <c r="A351" s="52">
        <v>90</v>
      </c>
      <c r="B351" s="53" t="s">
        <v>420</v>
      </c>
      <c r="C351" s="54">
        <v>33463</v>
      </c>
    </row>
    <row r="352" spans="1:3" ht="21">
      <c r="A352" s="52">
        <v>225</v>
      </c>
      <c r="B352" s="52" t="s">
        <v>421</v>
      </c>
      <c r="C352" s="54">
        <v>3025</v>
      </c>
    </row>
    <row r="353" spans="1:3" ht="21">
      <c r="A353" s="52">
        <v>176</v>
      </c>
      <c r="B353" s="52" t="s">
        <v>202</v>
      </c>
      <c r="C353" s="54">
        <v>8434</v>
      </c>
    </row>
    <row r="354" spans="1:3" ht="21">
      <c r="A354" s="52">
        <v>201</v>
      </c>
      <c r="B354" s="52" t="s">
        <v>422</v>
      </c>
      <c r="C354" s="54">
        <v>5431</v>
      </c>
    </row>
    <row r="355" spans="1:3" ht="21">
      <c r="A355" s="52">
        <v>209</v>
      </c>
      <c r="B355" s="52" t="s">
        <v>204</v>
      </c>
      <c r="C355" s="54">
        <v>3958</v>
      </c>
    </row>
    <row r="356" spans="1:3" ht="21">
      <c r="A356" s="52">
        <v>59</v>
      </c>
      <c r="B356" s="53" t="s">
        <v>205</v>
      </c>
      <c r="C356" s="54">
        <v>57356</v>
      </c>
    </row>
    <row r="357" spans="1:3" ht="21">
      <c r="A357" s="52">
        <v>1</v>
      </c>
      <c r="B357" s="53" t="s">
        <v>423</v>
      </c>
      <c r="C357" s="54">
        <v>4680609</v>
      </c>
    </row>
    <row r="358" spans="1:3" ht="21">
      <c r="A358" s="52">
        <v>53</v>
      </c>
      <c r="B358" s="53" t="s">
        <v>424</v>
      </c>
      <c r="C358" s="54">
        <v>66547</v>
      </c>
    </row>
    <row r="359" spans="1:3" ht="21">
      <c r="A359" s="52">
        <v>200</v>
      </c>
      <c r="B359" s="52" t="s">
        <v>425</v>
      </c>
      <c r="C359" s="54">
        <v>5588</v>
      </c>
    </row>
    <row r="360" spans="1:3" ht="21">
      <c r="A360" s="52">
        <v>198</v>
      </c>
      <c r="B360" s="52" t="s">
        <v>426</v>
      </c>
      <c r="C360" s="54">
        <v>5711</v>
      </c>
    </row>
    <row r="361" spans="1:3" ht="21">
      <c r="A361" s="52">
        <v>24</v>
      </c>
      <c r="B361" s="53" t="s">
        <v>427</v>
      </c>
      <c r="C361" s="54">
        <v>222827</v>
      </c>
    </row>
    <row r="362" spans="1:3" ht="21">
      <c r="A362" s="52">
        <v>210</v>
      </c>
      <c r="B362" s="52" t="s">
        <v>428</v>
      </c>
      <c r="C362" s="54">
        <v>3901</v>
      </c>
    </row>
    <row r="363" spans="1:3" ht="21">
      <c r="A363" s="52">
        <v>48</v>
      </c>
      <c r="B363" s="53" t="s">
        <v>208</v>
      </c>
      <c r="C363" s="54">
        <v>81969</v>
      </c>
    </row>
    <row r="364" spans="1:3" ht="21">
      <c r="A364" s="52">
        <v>8</v>
      </c>
      <c r="B364" s="53" t="s">
        <v>429</v>
      </c>
      <c r="C364" s="54">
        <v>861137</v>
      </c>
    </row>
    <row r="365" spans="1:3" ht="21">
      <c r="A365" s="52">
        <v>86</v>
      </c>
      <c r="B365" s="53" t="s">
        <v>430</v>
      </c>
      <c r="C365" s="54">
        <v>36109</v>
      </c>
    </row>
    <row r="366" spans="1:3" ht="21">
      <c r="A366" s="52">
        <v>107</v>
      </c>
      <c r="B366" s="52" t="s">
        <v>431</v>
      </c>
      <c r="C366" s="54">
        <v>22986</v>
      </c>
    </row>
    <row r="367" spans="1:3" ht="21">
      <c r="A367" s="52">
        <v>56</v>
      </c>
      <c r="B367" s="53" t="s">
        <v>432</v>
      </c>
      <c r="C367" s="54">
        <v>60025</v>
      </c>
    </row>
    <row r="368" spans="1:3" ht="21">
      <c r="A368" s="52">
        <v>84</v>
      </c>
      <c r="B368" s="53" t="s">
        <v>433</v>
      </c>
      <c r="C368" s="54">
        <v>36708</v>
      </c>
    </row>
    <row r="369" spans="1:3" ht="21">
      <c r="A369" s="52">
        <v>108</v>
      </c>
      <c r="B369" s="52" t="s">
        <v>211</v>
      </c>
      <c r="C369" s="54">
        <v>22942</v>
      </c>
    </row>
    <row r="370" spans="1:3" ht="21">
      <c r="A370" s="52">
        <v>85</v>
      </c>
      <c r="B370" s="53" t="s">
        <v>434</v>
      </c>
      <c r="C370" s="54">
        <v>36213</v>
      </c>
    </row>
    <row r="371" spans="1:3" ht="21">
      <c r="A371" s="52">
        <v>206</v>
      </c>
      <c r="B371" s="52" t="s">
        <v>435</v>
      </c>
      <c r="C371" s="54">
        <v>4687</v>
      </c>
    </row>
    <row r="372" spans="1:3" ht="21">
      <c r="A372" s="52">
        <v>41</v>
      </c>
      <c r="B372" s="53" t="s">
        <v>436</v>
      </c>
      <c r="C372" s="54">
        <v>96202</v>
      </c>
    </row>
    <row r="373" spans="1:3" ht="21">
      <c r="A373" s="52">
        <v>118</v>
      </c>
      <c r="B373" s="52" t="s">
        <v>437</v>
      </c>
      <c r="C373" s="54">
        <v>21105</v>
      </c>
    </row>
    <row r="374" spans="1:3" ht="21">
      <c r="A374" s="52">
        <v>238</v>
      </c>
      <c r="B374" s="52" t="s">
        <v>438</v>
      </c>
      <c r="C374" s="54">
        <v>1553</v>
      </c>
    </row>
    <row r="375" spans="1:3" ht="21">
      <c r="A375" s="52">
        <v>173</v>
      </c>
      <c r="B375" s="52" t="s">
        <v>439</v>
      </c>
      <c r="C375" s="54">
        <v>8888</v>
      </c>
    </row>
    <row r="376" spans="1:3" ht="21">
      <c r="A376" s="52">
        <v>142</v>
      </c>
      <c r="B376" s="52" t="s">
        <v>213</v>
      </c>
      <c r="C376" s="54">
        <v>14822</v>
      </c>
    </row>
    <row r="377" spans="1:3" ht="21">
      <c r="A377" s="52">
        <v>87</v>
      </c>
      <c r="B377" s="53" t="s">
        <v>440</v>
      </c>
      <c r="C377" s="54">
        <v>35562</v>
      </c>
    </row>
    <row r="378" spans="1:3" ht="21">
      <c r="A378" s="52">
        <v>230</v>
      </c>
      <c r="B378" s="52" t="s">
        <v>441</v>
      </c>
      <c r="C378" s="54">
        <v>2245</v>
      </c>
    </row>
    <row r="379" spans="1:3" ht="21">
      <c r="A379" s="52">
        <v>21</v>
      </c>
      <c r="B379" s="53" t="s">
        <v>214</v>
      </c>
      <c r="C379" s="54">
        <v>253136</v>
      </c>
    </row>
    <row r="380" spans="1:3" ht="21">
      <c r="A380" s="52" t="s">
        <v>1691</v>
      </c>
      <c r="B380" s="52" t="s">
        <v>1692</v>
      </c>
      <c r="C380" s="54">
        <v>5187</v>
      </c>
    </row>
    <row r="381" spans="1:3" ht="21">
      <c r="A381" s="52">
        <v>80</v>
      </c>
      <c r="B381" s="53" t="s">
        <v>443</v>
      </c>
      <c r="C381" s="54">
        <v>40796</v>
      </c>
    </row>
    <row r="382" spans="1:3" ht="21">
      <c r="A382" s="52">
        <v>26</v>
      </c>
      <c r="B382" s="53" t="s">
        <v>215</v>
      </c>
      <c r="C382" s="54">
        <v>171359</v>
      </c>
    </row>
    <row r="383" spans="1:3" ht="21">
      <c r="A383" s="52">
        <v>124</v>
      </c>
      <c r="B383" s="52" t="s">
        <v>444</v>
      </c>
      <c r="C383" s="54">
        <v>19874</v>
      </c>
    </row>
    <row r="384" spans="1:3" ht="21">
      <c r="A384" s="52">
        <v>139</v>
      </c>
      <c r="B384" s="52" t="s">
        <v>445</v>
      </c>
      <c r="C384" s="54">
        <v>15547</v>
      </c>
    </row>
    <row r="385" spans="1:3" ht="21">
      <c r="A385" s="52">
        <v>36</v>
      </c>
      <c r="B385" s="53" t="s">
        <v>446</v>
      </c>
      <c r="C385" s="54">
        <v>129792</v>
      </c>
    </row>
    <row r="386" spans="1:3" ht="21">
      <c r="A386" s="52">
        <v>73</v>
      </c>
      <c r="B386" s="53" t="s">
        <v>447</v>
      </c>
      <c r="C386" s="54">
        <v>45491</v>
      </c>
    </row>
    <row r="387" spans="1:3" ht="21">
      <c r="A387" s="52">
        <v>251</v>
      </c>
      <c r="B387" s="52" t="s">
        <v>448</v>
      </c>
      <c r="C387" s="52">
        <v>391</v>
      </c>
    </row>
    <row r="388" spans="1:3" ht="21">
      <c r="A388" s="52">
        <v>249</v>
      </c>
      <c r="B388" s="52" t="s">
        <v>449</v>
      </c>
      <c r="C388" s="52">
        <v>704</v>
      </c>
    </row>
    <row r="389" spans="1:3" ht="21">
      <c r="A389" s="52">
        <v>64</v>
      </c>
      <c r="B389" s="53" t="s">
        <v>450</v>
      </c>
      <c r="C389" s="54">
        <v>52195</v>
      </c>
    </row>
    <row r="390" spans="1:3" ht="21">
      <c r="A390" s="52">
        <v>207</v>
      </c>
      <c r="B390" s="52" t="s">
        <v>451</v>
      </c>
      <c r="C390" s="54">
        <v>4375</v>
      </c>
    </row>
    <row r="391" spans="1:3" ht="21">
      <c r="A391" s="52">
        <v>252</v>
      </c>
      <c r="B391" s="52" t="s">
        <v>452</v>
      </c>
      <c r="C391" s="52">
        <v>279</v>
      </c>
    </row>
    <row r="392" spans="1:3" ht="21">
      <c r="A392" s="52">
        <v>215</v>
      </c>
      <c r="B392" s="52" t="s">
        <v>453</v>
      </c>
      <c r="C392" s="54">
        <v>3674</v>
      </c>
    </row>
    <row r="393" spans="1:3" ht="21">
      <c r="A393" s="52">
        <v>93</v>
      </c>
      <c r="B393" s="53" t="s">
        <v>454</v>
      </c>
      <c r="C393" s="54">
        <v>30725</v>
      </c>
    </row>
    <row r="394" spans="1:3" ht="21">
      <c r="A394" s="52">
        <v>214</v>
      </c>
      <c r="B394" s="52" t="s">
        <v>216</v>
      </c>
      <c r="C394" s="54">
        <v>3679</v>
      </c>
    </row>
    <row r="395" spans="1:3" ht="21">
      <c r="A395" s="52">
        <v>184</v>
      </c>
      <c r="B395" s="52" t="s">
        <v>457</v>
      </c>
      <c r="C395" s="54">
        <v>7551</v>
      </c>
    </row>
    <row r="396" spans="1:3" ht="21">
      <c r="A396" s="52">
        <v>69</v>
      </c>
      <c r="B396" s="53" t="s">
        <v>455</v>
      </c>
      <c r="C396" s="54">
        <v>49705</v>
      </c>
    </row>
    <row r="397" spans="1:3" ht="21">
      <c r="A397" s="52">
        <v>149</v>
      </c>
      <c r="B397" s="52" t="s">
        <v>556</v>
      </c>
      <c r="C397" s="54">
        <v>13018</v>
      </c>
    </row>
    <row r="398" spans="1:3" ht="21">
      <c r="A398" s="52">
        <v>117</v>
      </c>
      <c r="B398" s="52" t="s">
        <v>456</v>
      </c>
      <c r="C398" s="54">
        <v>21152</v>
      </c>
    </row>
    <row r="399" spans="1:3" ht="21">
      <c r="A399" s="52">
        <v>122</v>
      </c>
      <c r="B399" s="52" t="s">
        <v>458</v>
      </c>
      <c r="C399" s="54">
        <v>20072</v>
      </c>
    </row>
    <row r="400" spans="1:3" ht="21">
      <c r="A400" s="52">
        <v>135</v>
      </c>
      <c r="B400" s="52" t="s">
        <v>459</v>
      </c>
      <c r="C400" s="54">
        <v>17174</v>
      </c>
    </row>
    <row r="401" spans="1:3" ht="21">
      <c r="A401" s="52">
        <v>133</v>
      </c>
      <c r="B401" s="52" t="s">
        <v>460</v>
      </c>
      <c r="C401" s="54">
        <v>17325</v>
      </c>
    </row>
    <row r="402" spans="1:3" ht="21">
      <c r="A402" s="52">
        <v>46</v>
      </c>
      <c r="B402" s="53" t="s">
        <v>461</v>
      </c>
      <c r="C402" s="54">
        <v>86173</v>
      </c>
    </row>
    <row r="403" spans="1:3" ht="21">
      <c r="A403" s="52">
        <v>105</v>
      </c>
      <c r="B403" s="52" t="s">
        <v>462</v>
      </c>
      <c r="C403" s="54">
        <v>23364</v>
      </c>
    </row>
    <row r="404" spans="1:3" ht="21">
      <c r="A404" s="52">
        <v>221</v>
      </c>
      <c r="B404" s="52" t="s">
        <v>463</v>
      </c>
      <c r="C404" s="54">
        <v>3301</v>
      </c>
    </row>
    <row r="405" spans="1:3" ht="21">
      <c r="A405" s="52">
        <v>155</v>
      </c>
      <c r="B405" s="52" t="s">
        <v>464</v>
      </c>
      <c r="C405" s="54">
        <v>12175</v>
      </c>
    </row>
    <row r="406" spans="1:3" ht="21">
      <c r="A406" s="52">
        <v>113</v>
      </c>
      <c r="B406" s="52" t="s">
        <v>465</v>
      </c>
      <c r="C406" s="54">
        <v>21452</v>
      </c>
    </row>
    <row r="407" spans="1:3" ht="21">
      <c r="A407" s="52">
        <v>253</v>
      </c>
      <c r="B407" s="52" t="s">
        <v>466</v>
      </c>
      <c r="C407" s="52">
        <v>117</v>
      </c>
    </row>
    <row r="408" spans="1:3" ht="21">
      <c r="A408" s="52">
        <v>18</v>
      </c>
      <c r="B408" s="53" t="s">
        <v>467</v>
      </c>
      <c r="C408" s="54">
        <v>308392</v>
      </c>
    </row>
    <row r="409" spans="1:3" ht="21">
      <c r="A409" s="52">
        <v>195</v>
      </c>
      <c r="B409" s="52" t="s">
        <v>468</v>
      </c>
      <c r="C409" s="54">
        <v>5886</v>
      </c>
    </row>
    <row r="410" spans="1:3" ht="21">
      <c r="A410" s="52">
        <v>144</v>
      </c>
      <c r="B410" s="52" t="s">
        <v>226</v>
      </c>
      <c r="C410" s="54">
        <v>14329</v>
      </c>
    </row>
    <row r="411" spans="1:3" ht="21">
      <c r="A411" s="52">
        <v>167</v>
      </c>
      <c r="B411" s="52" t="s">
        <v>227</v>
      </c>
      <c r="C411" s="54">
        <v>9987</v>
      </c>
    </row>
    <row r="412" spans="1:3" ht="21">
      <c r="A412" s="52">
        <v>199</v>
      </c>
      <c r="B412" s="52" t="s">
        <v>469</v>
      </c>
      <c r="C412" s="54">
        <v>5676</v>
      </c>
    </row>
    <row r="413" spans="1:3" ht="21">
      <c r="A413" s="52">
        <v>208</v>
      </c>
      <c r="B413" s="52" t="s">
        <v>470</v>
      </c>
      <c r="C413" s="54">
        <v>4248</v>
      </c>
    </row>
    <row r="414" spans="1:3" ht="21">
      <c r="A414" s="52">
        <v>83</v>
      </c>
      <c r="B414" s="53" t="s">
        <v>471</v>
      </c>
      <c r="C414" s="54">
        <v>36791</v>
      </c>
    </row>
    <row r="415" spans="1:3" ht="21">
      <c r="A415" s="52">
        <v>57</v>
      </c>
      <c r="B415" s="53" t="s">
        <v>472</v>
      </c>
      <c r="C415" s="54">
        <v>58098</v>
      </c>
    </row>
    <row r="416" spans="1:3" ht="21">
      <c r="A416" s="52">
        <v>180</v>
      </c>
      <c r="B416" s="52" t="s">
        <v>473</v>
      </c>
      <c r="C416" s="54">
        <v>7970</v>
      </c>
    </row>
    <row r="417" spans="1:3" ht="21">
      <c r="A417" s="52">
        <v>20</v>
      </c>
      <c r="B417" s="53" t="s">
        <v>474</v>
      </c>
      <c r="C417" s="54">
        <v>254045</v>
      </c>
    </row>
    <row r="418" spans="1:3" ht="21">
      <c r="A418" s="52">
        <v>248</v>
      </c>
      <c r="B418" s="52" t="s">
        <v>475</v>
      </c>
      <c r="C418" s="52">
        <v>724</v>
      </c>
    </row>
    <row r="419" spans="1:3" ht="21">
      <c r="A419" s="52">
        <v>65</v>
      </c>
      <c r="B419" s="53" t="s">
        <v>476</v>
      </c>
      <c r="C419" s="54">
        <v>50869</v>
      </c>
    </row>
    <row r="420" spans="1:3" ht="21">
      <c r="A420" s="52">
        <v>234</v>
      </c>
      <c r="B420" s="52" t="s">
        <v>477</v>
      </c>
      <c r="C420" s="54">
        <v>2108</v>
      </c>
    </row>
    <row r="421" spans="1:3" ht="21">
      <c r="A421" s="52">
        <v>27</v>
      </c>
      <c r="B421" s="53" t="s">
        <v>478</v>
      </c>
      <c r="C421" s="54">
        <v>171238</v>
      </c>
    </row>
    <row r="422" spans="1:3" ht="21">
      <c r="A422" s="52">
        <v>103</v>
      </c>
      <c r="B422" s="52" t="s">
        <v>479</v>
      </c>
      <c r="C422" s="54">
        <v>24797</v>
      </c>
    </row>
    <row r="423" spans="1:3" ht="21">
      <c r="A423" s="52">
        <v>204</v>
      </c>
      <c r="B423" s="52" t="s">
        <v>480</v>
      </c>
      <c r="C423" s="54">
        <v>4877</v>
      </c>
    </row>
    <row r="424" spans="1:3" ht="21">
      <c r="A424" s="52">
        <v>179</v>
      </c>
      <c r="B424" s="52" t="s">
        <v>481</v>
      </c>
      <c r="C424" s="54">
        <v>8256</v>
      </c>
    </row>
    <row r="425" spans="1:3" ht="21">
      <c r="A425" s="52">
        <v>126</v>
      </c>
      <c r="B425" s="52" t="s">
        <v>482</v>
      </c>
      <c r="C425" s="54">
        <v>19640</v>
      </c>
    </row>
    <row r="426" spans="1:3" ht="21">
      <c r="A426" s="52">
        <v>11</v>
      </c>
      <c r="B426" s="53" t="s">
        <v>232</v>
      </c>
      <c r="C426" s="54">
        <v>590188</v>
      </c>
    </row>
    <row r="427" spans="1:3" ht="21">
      <c r="A427" s="52">
        <v>116</v>
      </c>
      <c r="B427" s="52" t="s">
        <v>233</v>
      </c>
      <c r="C427" s="54">
        <v>21169</v>
      </c>
    </row>
    <row r="428" spans="1:3" ht="21">
      <c r="A428" s="52">
        <v>154</v>
      </c>
      <c r="B428" s="52" t="s">
        <v>483</v>
      </c>
      <c r="C428" s="54">
        <v>12357</v>
      </c>
    </row>
    <row r="429" spans="1:3" ht="21">
      <c r="A429" s="52">
        <v>242</v>
      </c>
      <c r="B429" s="52" t="s">
        <v>484</v>
      </c>
      <c r="C429" s="54">
        <v>1362</v>
      </c>
    </row>
    <row r="430" spans="1:3" ht="21">
      <c r="A430" s="52">
        <v>54</v>
      </c>
      <c r="B430" s="53" t="s">
        <v>485</v>
      </c>
      <c r="C430" s="54">
        <v>65080</v>
      </c>
    </row>
    <row r="431" spans="1:3" ht="21">
      <c r="A431" s="52">
        <v>70</v>
      </c>
      <c r="B431" s="53" t="s">
        <v>486</v>
      </c>
      <c r="C431" s="54">
        <v>49475</v>
      </c>
    </row>
    <row r="432" spans="1:3" ht="21">
      <c r="A432" s="52">
        <v>147</v>
      </c>
      <c r="B432" s="52" t="s">
        <v>487</v>
      </c>
      <c r="C432" s="54">
        <v>13788</v>
      </c>
    </row>
    <row r="433" spans="1:3" ht="21">
      <c r="A433" s="52">
        <v>141</v>
      </c>
      <c r="B433" s="52" t="s">
        <v>557</v>
      </c>
      <c r="C433" s="54">
        <v>14901</v>
      </c>
    </row>
    <row r="434" spans="1:3" ht="21">
      <c r="A434" s="52">
        <v>15</v>
      </c>
      <c r="B434" s="53" t="s">
        <v>488</v>
      </c>
      <c r="C434" s="54">
        <v>362151</v>
      </c>
    </row>
    <row r="435" spans="1:3" ht="21">
      <c r="A435" s="52">
        <v>168</v>
      </c>
      <c r="B435" s="52" t="s">
        <v>489</v>
      </c>
      <c r="C435" s="54">
        <v>9907</v>
      </c>
    </row>
    <row r="436" spans="1:3" ht="21">
      <c r="A436" s="52">
        <v>233</v>
      </c>
      <c r="B436" s="52" t="s">
        <v>490</v>
      </c>
      <c r="C436" s="54">
        <v>2110</v>
      </c>
    </row>
    <row r="437" spans="1:3" ht="21">
      <c r="A437" s="52">
        <v>47</v>
      </c>
      <c r="B437" s="53" t="s">
        <v>491</v>
      </c>
      <c r="C437" s="54">
        <v>83776</v>
      </c>
    </row>
    <row r="438" spans="1:3" ht="21">
      <c r="A438" s="52">
        <v>96</v>
      </c>
      <c r="B438" s="53" t="s">
        <v>492</v>
      </c>
      <c r="C438" s="54">
        <v>28792</v>
      </c>
    </row>
    <row r="439" spans="1:3" ht="21">
      <c r="A439" s="52">
        <v>106</v>
      </c>
      <c r="B439" s="52" t="s">
        <v>493</v>
      </c>
      <c r="C439" s="54">
        <v>23186</v>
      </c>
    </row>
    <row r="440" spans="1:3" ht="21">
      <c r="A440" s="52">
        <v>31</v>
      </c>
      <c r="B440" s="53" t="s">
        <v>494</v>
      </c>
      <c r="C440" s="54">
        <v>138447</v>
      </c>
    </row>
    <row r="441" spans="1:3" ht="21">
      <c r="A441" s="52">
        <v>169</v>
      </c>
      <c r="B441" s="52" t="s">
        <v>495</v>
      </c>
      <c r="C441" s="54">
        <v>9639</v>
      </c>
    </row>
    <row r="442" spans="1:3" ht="21">
      <c r="A442" s="52">
        <v>138</v>
      </c>
      <c r="B442" s="52" t="s">
        <v>496</v>
      </c>
      <c r="C442" s="54">
        <v>15725</v>
      </c>
    </row>
    <row r="443" spans="1:3" ht="21">
      <c r="A443" s="52">
        <v>67</v>
      </c>
      <c r="B443" s="53" t="s">
        <v>239</v>
      </c>
      <c r="C443" s="54">
        <v>50155</v>
      </c>
    </row>
    <row r="444" spans="1:3" ht="21">
      <c r="A444" s="52">
        <v>39</v>
      </c>
      <c r="B444" s="53" t="s">
        <v>497</v>
      </c>
      <c r="C444" s="54">
        <v>118323</v>
      </c>
    </row>
    <row r="445" spans="1:3" ht="21">
      <c r="A445" s="52">
        <v>191</v>
      </c>
      <c r="B445" s="52" t="s">
        <v>498</v>
      </c>
      <c r="C445" s="54">
        <v>6808</v>
      </c>
    </row>
    <row r="446" spans="1:3" ht="21">
      <c r="A446" s="52">
        <v>157</v>
      </c>
      <c r="B446" s="52" t="s">
        <v>499</v>
      </c>
      <c r="C446" s="54">
        <v>12001</v>
      </c>
    </row>
    <row r="447" spans="1:3" ht="21">
      <c r="A447" s="52">
        <v>33</v>
      </c>
      <c r="B447" s="53" t="s">
        <v>500</v>
      </c>
      <c r="C447" s="54">
        <v>136005</v>
      </c>
    </row>
    <row r="448" spans="1:3" ht="21">
      <c r="A448" s="52">
        <v>213</v>
      </c>
      <c r="B448" s="52" t="s">
        <v>501</v>
      </c>
      <c r="C448" s="54">
        <v>3766</v>
      </c>
    </row>
    <row r="449" spans="1:3" ht="21">
      <c r="A449" s="52">
        <v>218</v>
      </c>
      <c r="B449" s="52" t="s">
        <v>502</v>
      </c>
      <c r="C449" s="54">
        <v>3429</v>
      </c>
    </row>
    <row r="450" spans="1:3" ht="21">
      <c r="A450" s="52">
        <v>156</v>
      </c>
      <c r="B450" s="52" t="s">
        <v>503</v>
      </c>
      <c r="C450" s="54">
        <v>12115</v>
      </c>
    </row>
    <row r="451" spans="1:3" ht="21">
      <c r="A451" s="52">
        <v>140</v>
      </c>
      <c r="B451" s="52" t="s">
        <v>504</v>
      </c>
      <c r="C451" s="54">
        <v>15546</v>
      </c>
    </row>
    <row r="452" spans="1:3" ht="21">
      <c r="A452" s="52">
        <v>189</v>
      </c>
      <c r="B452" s="52" t="s">
        <v>505</v>
      </c>
      <c r="C452" s="54">
        <v>7015</v>
      </c>
    </row>
    <row r="453" spans="1:3" ht="21">
      <c r="A453" s="52">
        <v>247</v>
      </c>
      <c r="B453" s="52" t="s">
        <v>506</v>
      </c>
      <c r="C453" s="52">
        <v>784</v>
      </c>
    </row>
    <row r="454" spans="1:3" ht="21">
      <c r="A454" s="52">
        <v>136</v>
      </c>
      <c r="B454" s="52" t="s">
        <v>243</v>
      </c>
      <c r="C454" s="54">
        <v>17094</v>
      </c>
    </row>
    <row r="455" spans="1:3" ht="21">
      <c r="A455" s="52">
        <v>40</v>
      </c>
      <c r="B455" s="53" t="s">
        <v>507</v>
      </c>
      <c r="C455" s="54">
        <v>101175</v>
      </c>
    </row>
    <row r="456" spans="1:3" ht="21">
      <c r="A456" s="52">
        <v>165</v>
      </c>
      <c r="B456" s="52" t="s">
        <v>508</v>
      </c>
      <c r="C456" s="54">
        <v>10280</v>
      </c>
    </row>
    <row r="457" spans="1:3" ht="21">
      <c r="A457" s="52">
        <v>61</v>
      </c>
      <c r="B457" s="53" t="s">
        <v>509</v>
      </c>
      <c r="C457" s="54">
        <v>53988</v>
      </c>
    </row>
    <row r="458" spans="1:3" ht="21">
      <c r="A458" s="52">
        <v>163</v>
      </c>
      <c r="B458" s="52" t="s">
        <v>510</v>
      </c>
      <c r="C458" s="54">
        <v>10470</v>
      </c>
    </row>
    <row r="459" spans="1:3" ht="21">
      <c r="A459" s="52">
        <v>178</v>
      </c>
      <c r="B459" s="52" t="s">
        <v>511</v>
      </c>
      <c r="C459" s="54">
        <v>8260</v>
      </c>
    </row>
    <row r="460" spans="1:3" ht="21">
      <c r="A460" s="52">
        <v>97</v>
      </c>
      <c r="B460" s="53" t="s">
        <v>512</v>
      </c>
      <c r="C460" s="54">
        <v>28574</v>
      </c>
    </row>
    <row r="461" spans="1:3" ht="21">
      <c r="A461" s="52">
        <v>52</v>
      </c>
      <c r="B461" s="53" t="s">
        <v>513</v>
      </c>
      <c r="C461" s="54">
        <v>66969</v>
      </c>
    </row>
    <row r="462" spans="1:3" ht="21">
      <c r="A462" s="52">
        <v>193</v>
      </c>
      <c r="B462" s="52" t="s">
        <v>514</v>
      </c>
      <c r="C462" s="54">
        <v>6004</v>
      </c>
    </row>
    <row r="463" spans="1:3" ht="21">
      <c r="A463" s="52">
        <v>228</v>
      </c>
      <c r="B463" s="52" t="s">
        <v>515</v>
      </c>
      <c r="C463" s="54">
        <v>2898</v>
      </c>
    </row>
    <row r="464" spans="1:3" ht="21">
      <c r="A464" s="52">
        <v>137</v>
      </c>
      <c r="B464" s="52" t="s">
        <v>516</v>
      </c>
      <c r="C464" s="54">
        <v>16918</v>
      </c>
    </row>
    <row r="465" spans="1:3" ht="21">
      <c r="A465" s="52">
        <v>223</v>
      </c>
      <c r="B465" s="52" t="s">
        <v>517</v>
      </c>
      <c r="C465" s="54">
        <v>3291</v>
      </c>
    </row>
    <row r="466" spans="1:3" ht="21">
      <c r="A466" s="52">
        <v>101</v>
      </c>
      <c r="B466" s="52" t="s">
        <v>264</v>
      </c>
      <c r="C466" s="54">
        <v>25263</v>
      </c>
    </row>
    <row r="467" spans="1:3" ht="21">
      <c r="A467" s="52">
        <v>224</v>
      </c>
      <c r="B467" s="52" t="s">
        <v>288</v>
      </c>
      <c r="C467" s="54">
        <v>3046</v>
      </c>
    </row>
    <row r="468" spans="1:3" ht="21">
      <c r="A468" s="52">
        <v>22</v>
      </c>
      <c r="B468" s="53" t="s">
        <v>248</v>
      </c>
      <c r="C468" s="54">
        <v>230184</v>
      </c>
    </row>
    <row r="469" spans="1:3" ht="21">
      <c r="A469" s="52">
        <v>172</v>
      </c>
      <c r="B469" s="52" t="s">
        <v>518</v>
      </c>
      <c r="C469" s="54">
        <v>8958</v>
      </c>
    </row>
    <row r="470" spans="1:3" ht="21">
      <c r="A470" s="52">
        <v>55</v>
      </c>
      <c r="B470" s="53" t="s">
        <v>519</v>
      </c>
      <c r="C470" s="54">
        <v>64032</v>
      </c>
    </row>
    <row r="471" spans="1:3" ht="21">
      <c r="A471" s="52">
        <v>170</v>
      </c>
      <c r="B471" s="52" t="s">
        <v>520</v>
      </c>
      <c r="C471" s="54">
        <v>9358</v>
      </c>
    </row>
    <row r="472" spans="1:3" ht="21">
      <c r="A472" s="52">
        <v>244</v>
      </c>
      <c r="B472" s="52" t="s">
        <v>521</v>
      </c>
      <c r="C472" s="54">
        <v>1274</v>
      </c>
    </row>
    <row r="473" spans="1:3" ht="21">
      <c r="A473" s="52">
        <v>241</v>
      </c>
      <c r="B473" s="52" t="s">
        <v>522</v>
      </c>
      <c r="C473" s="54">
        <v>1412</v>
      </c>
    </row>
    <row r="474" spans="1:3" ht="21">
      <c r="A474" s="52">
        <v>212</v>
      </c>
      <c r="B474" s="52" t="s">
        <v>523</v>
      </c>
      <c r="C474" s="54">
        <v>3793</v>
      </c>
    </row>
    <row r="475" spans="1:3" ht="21">
      <c r="A475" s="52">
        <v>185</v>
      </c>
      <c r="B475" s="52" t="s">
        <v>524</v>
      </c>
      <c r="C475" s="54">
        <v>7403</v>
      </c>
    </row>
    <row r="476" spans="1:3" ht="21">
      <c r="A476" s="52">
        <v>3</v>
      </c>
      <c r="B476" s="53" t="s">
        <v>525</v>
      </c>
      <c r="C476" s="54">
        <v>2077153</v>
      </c>
    </row>
    <row r="477" spans="1:3" ht="21">
      <c r="A477" s="52">
        <v>32</v>
      </c>
      <c r="B477" s="53" t="s">
        <v>526</v>
      </c>
      <c r="C477" s="54">
        <v>137521</v>
      </c>
    </row>
    <row r="478" spans="1:3" ht="21">
      <c r="A478" s="52">
        <v>246</v>
      </c>
      <c r="B478" s="52" t="s">
        <v>527</v>
      </c>
      <c r="C478" s="52">
        <v>903</v>
      </c>
    </row>
    <row r="479" spans="1:3" ht="21">
      <c r="A479" s="52">
        <v>153</v>
      </c>
      <c r="B479" s="52" t="s">
        <v>528</v>
      </c>
      <c r="C479" s="54">
        <v>12408</v>
      </c>
    </row>
    <row r="480" spans="1:3" ht="21">
      <c r="A480" s="52">
        <v>239</v>
      </c>
      <c r="B480" s="52" t="s">
        <v>529</v>
      </c>
      <c r="C480" s="54">
        <v>1500</v>
      </c>
    </row>
    <row r="481" spans="1:3" ht="21">
      <c r="A481" s="52">
        <v>91</v>
      </c>
      <c r="B481" s="53" t="s">
        <v>530</v>
      </c>
      <c r="C481" s="54">
        <v>32709</v>
      </c>
    </row>
    <row r="482" spans="1:3" ht="21">
      <c r="A482" s="52">
        <v>38</v>
      </c>
      <c r="B482" s="53" t="s">
        <v>531</v>
      </c>
      <c r="C482" s="54">
        <v>118645</v>
      </c>
    </row>
    <row r="483" spans="1:3" ht="21">
      <c r="A483" s="52">
        <v>5</v>
      </c>
      <c r="B483" s="53" t="s">
        <v>532</v>
      </c>
      <c r="C483" s="54">
        <v>1250884</v>
      </c>
    </row>
    <row r="484" spans="1:3" ht="21">
      <c r="A484" s="52">
        <v>143</v>
      </c>
      <c r="B484" s="52" t="s">
        <v>533</v>
      </c>
      <c r="C484" s="54">
        <v>14689</v>
      </c>
    </row>
    <row r="485" spans="1:3" ht="21">
      <c r="A485" s="52">
        <v>111</v>
      </c>
      <c r="B485" s="52" t="s">
        <v>534</v>
      </c>
      <c r="C485" s="54">
        <v>21524</v>
      </c>
    </row>
    <row r="486" spans="1:3" ht="21">
      <c r="A486" s="52">
        <v>79</v>
      </c>
      <c r="B486" s="53" t="s">
        <v>535</v>
      </c>
      <c r="C486" s="54">
        <v>41386</v>
      </c>
    </row>
    <row r="487" spans="1:3" ht="21">
      <c r="A487" s="52">
        <v>216</v>
      </c>
      <c r="B487" s="52" t="s">
        <v>536</v>
      </c>
      <c r="C487" s="54">
        <v>3651</v>
      </c>
    </row>
    <row r="488" spans="1:3" ht="21">
      <c r="A488" s="52">
        <v>99</v>
      </c>
      <c r="B488" s="53" t="s">
        <v>537</v>
      </c>
      <c r="C488" s="54">
        <v>26899</v>
      </c>
    </row>
    <row r="489" spans="1:3" ht="21">
      <c r="A489" s="52">
        <v>71</v>
      </c>
      <c r="B489" s="53" t="s">
        <v>538</v>
      </c>
      <c r="C489" s="54">
        <v>49018</v>
      </c>
    </row>
    <row r="490" spans="1:3" ht="21">
      <c r="A490" s="52">
        <v>60</v>
      </c>
      <c r="B490" s="53" t="s">
        <v>539</v>
      </c>
      <c r="C490" s="54">
        <v>55970</v>
      </c>
    </row>
    <row r="491" spans="1:3" ht="21">
      <c r="A491" s="52">
        <v>43</v>
      </c>
      <c r="B491" s="53" t="s">
        <v>540</v>
      </c>
      <c r="C491" s="54">
        <v>92044</v>
      </c>
    </row>
    <row r="492" spans="1:3" ht="21">
      <c r="A492" s="52">
        <v>50</v>
      </c>
      <c r="B492" s="53" t="s">
        <v>541</v>
      </c>
      <c r="C492" s="54">
        <v>72295</v>
      </c>
    </row>
    <row r="493" spans="1:3" ht="21">
      <c r="A493" s="52">
        <v>62</v>
      </c>
      <c r="B493" s="53" t="s">
        <v>542</v>
      </c>
      <c r="C493" s="54">
        <v>53626</v>
      </c>
    </row>
    <row r="494" spans="1:3" ht="21">
      <c r="A494" s="52">
        <v>159</v>
      </c>
      <c r="B494" s="52" t="s">
        <v>543</v>
      </c>
      <c r="C494" s="54">
        <v>11745</v>
      </c>
    </row>
    <row r="495" spans="1:3" ht="21">
      <c r="A495" s="52">
        <v>88</v>
      </c>
      <c r="B495" s="53" t="s">
        <v>258</v>
      </c>
      <c r="C495" s="54">
        <v>35275</v>
      </c>
    </row>
    <row r="496" spans="1:3" ht="21">
      <c r="A496" s="52">
        <v>19</v>
      </c>
      <c r="B496" s="53" t="s">
        <v>544</v>
      </c>
      <c r="C496" s="54">
        <v>274847</v>
      </c>
    </row>
    <row r="497" spans="1:3" ht="21">
      <c r="A497" s="52">
        <v>78</v>
      </c>
      <c r="B497" s="53" t="s">
        <v>545</v>
      </c>
      <c r="C497" s="54">
        <v>41672</v>
      </c>
    </row>
    <row r="498" spans="1:3" ht="21">
      <c r="A498" s="52">
        <v>35</v>
      </c>
      <c r="B498" s="53" t="s">
        <v>546</v>
      </c>
      <c r="C498" s="54">
        <v>132154</v>
      </c>
    </row>
    <row r="499" spans="1:3" ht="21">
      <c r="A499" s="52">
        <v>152</v>
      </c>
      <c r="B499" s="52" t="s">
        <v>547</v>
      </c>
      <c r="C499" s="54">
        <v>12717</v>
      </c>
    </row>
    <row r="500" spans="1:3" ht="21">
      <c r="A500" s="52">
        <v>114</v>
      </c>
      <c r="B500" s="52" t="s">
        <v>548</v>
      </c>
      <c r="C500" s="54">
        <v>21419</v>
      </c>
    </row>
    <row r="501" spans="1:3" ht="21">
      <c r="A501" s="52">
        <v>12</v>
      </c>
      <c r="B501" s="53" t="s">
        <v>262</v>
      </c>
      <c r="C501" s="54">
        <v>570437</v>
      </c>
    </row>
    <row r="502" spans="1:3" ht="21">
      <c r="A502" s="52">
        <v>68</v>
      </c>
      <c r="B502" s="53" t="s">
        <v>263</v>
      </c>
      <c r="C502" s="54">
        <v>50110</v>
      </c>
    </row>
    <row r="503" spans="1:3" ht="21">
      <c r="A503" s="52">
        <v>181</v>
      </c>
      <c r="B503" s="52" t="s">
        <v>549</v>
      </c>
      <c r="C503" s="54">
        <v>7822</v>
      </c>
    </row>
    <row r="504" spans="1:3" ht="21">
      <c r="A504" s="52">
        <v>51</v>
      </c>
      <c r="B504" s="53" t="s">
        <v>550</v>
      </c>
      <c r="C504" s="54">
        <v>67884</v>
      </c>
    </row>
    <row r="505" spans="1:3" ht="21">
      <c r="A505" s="52">
        <v>74</v>
      </c>
      <c r="B505" s="53" t="s">
        <v>551</v>
      </c>
      <c r="C505" s="54">
        <v>45054</v>
      </c>
    </row>
    <row r="506" spans="1:3" ht="21">
      <c r="A506" s="52">
        <v>175</v>
      </c>
      <c r="B506" s="52" t="s">
        <v>552</v>
      </c>
      <c r="C506" s="54">
        <v>8612</v>
      </c>
    </row>
    <row r="507" spans="1:3" ht="21">
      <c r="A507" s="52">
        <v>132</v>
      </c>
      <c r="B507" s="52" t="s">
        <v>553</v>
      </c>
      <c r="C507" s="54">
        <v>17961</v>
      </c>
    </row>
    <row r="508" spans="1:3" ht="21">
      <c r="A508" s="52">
        <v>145</v>
      </c>
      <c r="B508" s="52" t="s">
        <v>554</v>
      </c>
      <c r="C508" s="54">
        <v>14243</v>
      </c>
    </row>
    <row r="509" spans="1:3" ht="21">
      <c r="A509" s="52">
        <v>158</v>
      </c>
      <c r="B509" s="52" t="s">
        <v>555</v>
      </c>
      <c r="C509" s="54">
        <v>11930</v>
      </c>
    </row>
  </sheetData>
  <hyperlinks>
    <hyperlink ref="B357" r:id="rId1" display="https://www.texas-demographics.com/harris-county-demographics" xr:uid="{C0DF8B92-7EED-5947-88FB-5684730EF202}"/>
    <hyperlink ref="B313" r:id="rId2" display="https://www.texas-demographics.com/dallas-county-demographics" xr:uid="{F84B5373-BBEA-3D4D-8BE0-1FAD73BE2C29}"/>
    <hyperlink ref="B476" r:id="rId3" display="https://www.texas-demographics.com/tarrant-county-demographics" xr:uid="{B2DEAE63-DD84-B148-9EB1-58AF5B99DDCE}"/>
    <hyperlink ref="B271" r:id="rId4" display="https://www.texas-demographics.com/bexar-county-demographics" xr:uid="{9E983FE4-69C5-F24F-B64B-C809FB51AE51}"/>
    <hyperlink ref="B483" r:id="rId5" display="https://www.texas-demographics.com/travis-county-demographics" xr:uid="{9AB6A8B4-3AE6-3E4B-8974-5ED91F48D50B}"/>
    <hyperlink ref="B299" r:id="rId6" display="https://www.texas-demographics.com/collin-county-demographics" xr:uid="{117598A7-7E70-0D48-8EC7-60D7C457DD96}"/>
    <hyperlink ref="B317" r:id="rId7" display="https://www.texas-demographics.com/denton-county-demographics" xr:uid="{3257D7CC-5AE0-5D4C-BA96-65C46F82DE6A}"/>
    <hyperlink ref="B364" r:id="rId8" display="https://www.texas-demographics.com/hidalgo-county-demographics" xr:uid="{AEBFF0E9-027F-6D47-94CF-FE3FDC0F3225}"/>
    <hyperlink ref="B326" r:id="rId9" display="https://www.texas-demographics.com/el-paso-county-demographics" xr:uid="{EDE05281-21A0-3043-94DE-3E328C5291BD}"/>
    <hyperlink ref="B335" r:id="rId10" display="https://www.texas-demographics.com/fort-bend-county-demographics" xr:uid="{D79A0291-74C5-8940-ADD0-9283811C2B72}"/>
    <hyperlink ref="B426" r:id="rId11" display="https://www.texas-demographics.com/montgomery-county-demographics" xr:uid="{AEC88FE2-72F2-1845-B094-57544D87D6F7}"/>
    <hyperlink ref="B501" r:id="rId12" display="https://www.texas-demographics.com/williamson-county-demographics" xr:uid="{7ABCFE60-89E0-9B41-A2F9-545738D24B69}"/>
    <hyperlink ref="B287" r:id="rId13" display="https://www.texas-demographics.com/cameron-county-demographics" xr:uid="{C75A9465-FF23-0548-B902-E2F2F1AB417F}"/>
    <hyperlink ref="B276" r:id="rId14" display="https://www.texas-demographics.com/brazoria-county-demographics" xr:uid="{DBE080EC-5F65-F647-93BC-5FE09F90B7ED}"/>
    <hyperlink ref="B434" r:id="rId15" display="https://www.texas-demographics.com/nueces-county-demographics" xr:uid="{0B1AAF9A-585E-F943-AD74-D61C3E89E410}"/>
    <hyperlink ref="B270" r:id="rId16" display="https://www.texas-demographics.com/bell-county-demographics" xr:uid="{D2C89F9D-5134-BB47-8386-BA97251D303B}"/>
    <hyperlink ref="B340" r:id="rId17" display="https://www.texas-demographics.com/galveston-county-demographics" xr:uid="{EA5B76EB-39DB-B745-838E-10FCFA424E1B}"/>
    <hyperlink ref="B408" r:id="rId18" display="https://www.texas-demographics.com/lubbock-county-demographics" xr:uid="{9AFBB6E7-8C31-DD42-9575-0DE80236FB93}"/>
    <hyperlink ref="B496" r:id="rId19" display="https://www.texas-demographics.com/webb-county-demographics" xr:uid="{A13FDE8D-3748-5C47-BB7F-C1B2E2D09B68}"/>
    <hyperlink ref="B417" r:id="rId20" display="https://www.texas-demographics.com/mclennan-county-demographics" xr:uid="{0BA8A556-A306-784F-AFC2-D6772AF1B46E}"/>
    <hyperlink ref="B379" r:id="rId21" display="https://www.texas-demographics.com/jefferson-county-demographics" xr:uid="{8F8BA5AA-5C66-E846-BFE8-D86348FE8E6A}"/>
    <hyperlink ref="B468" r:id="rId22" display="https://www.texas-demographics.com/smith-county-demographics" xr:uid="{C29717C9-1456-0948-9690-4F963D032C93}"/>
    <hyperlink ref="B277" r:id="rId23" display="https://www.texas-demographics.com/brazos-county-demographics" xr:uid="{EEBE5A90-7F70-3A45-9FEB-C0A9F06D943F}"/>
    <hyperlink ref="B361" r:id="rId24" display="https://www.texas-demographics.com/hays-county-demographics" xr:uid="{7694D863-A348-C74F-A85C-BDC2C3C59D85}"/>
    <hyperlink ref="B327" r:id="rId25" display="https://www.texas-demographics.com/ellis-county-demographics" xr:uid="{F27BD115-FA2C-F340-8D0B-9057A342DD2F}"/>
    <hyperlink ref="B382" r:id="rId26" display="https://www.texas-demographics.com/johnson-county-demographics" xr:uid="{B223D639-12EA-FE48-95B5-D6668DBB1905}"/>
    <hyperlink ref="B421" r:id="rId27" display="https://www.texas-demographics.com/midland-county-demographics" xr:uid="{35910756-6B37-C04E-A417-633EC19469FB}"/>
    <hyperlink ref="B350" r:id="rId28" display="https://www.texas-demographics.com/guadalupe-county-demographics" xr:uid="{C7083E17-9485-724E-8EDA-4AEFB716DAD4}"/>
    <hyperlink ref="B324" r:id="rId29" display="https://www.texas-demographics.com/ector-county-demographics" xr:uid="{7ABB5DF4-9AD8-B542-B5B6-57893A758578}"/>
    <hyperlink ref="B302" r:id="rId30" display="https://www.texas-demographics.com/comal-county-demographics" xr:uid="{558C8264-7AC4-6342-9CD8-616E16FD4B8C}"/>
    <hyperlink ref="B440" r:id="rId31" display="https://www.texas-demographics.com/parker-county-demographics" xr:uid="{B078EAA9-7485-7A42-A3BB-F1828E1722A1}"/>
    <hyperlink ref="B477" r:id="rId32" display="https://www.texas-demographics.com/taylor-county-demographics" xr:uid="{B55BDBE0-74EA-6747-9DD8-87BAE50A5E18}"/>
    <hyperlink ref="B447" r:id="rId33" display="https://www.texas-demographics.com/randall-county-demographics" xr:uid="{829953A1-73BD-AC41-A11E-828160B44BA4}"/>
    <hyperlink ref="B347" r:id="rId34" display="https://www.texas-demographics.com/grayson-county-demographics" xr:uid="{FE21F27D-2983-7A43-82BC-2068D0815B57}"/>
    <hyperlink ref="B498" r:id="rId35" display="https://www.texas-demographics.com/wichita-county-demographics" xr:uid="{D8B52A74-6D60-EC45-BDC1-6CD6CE12B87E}"/>
    <hyperlink ref="B385" r:id="rId36" display="https://www.texas-demographics.com/kaufman-county-demographics" xr:uid="{13B49F88-660A-974A-AA10-D816807370D3}"/>
    <hyperlink ref="B348" r:id="rId37" display="https://www.texas-demographics.com/gregg-county-demographics" xr:uid="{96EEF26D-88F4-A349-B49B-8562E2995C04}"/>
    <hyperlink ref="B482" r:id="rId38" display="https://www.texas-demographics.com/tom-green-county-demographics" xr:uid="{728254C4-67AE-6E43-B89B-65C8E1339674}"/>
    <hyperlink ref="B444" r:id="rId39" display="https://www.texas-demographics.com/potter-county-demographics" xr:uid="{E7B4CD86-D82D-9044-BF6B-3D82CC9D8B81}"/>
    <hyperlink ref="B455" r:id="rId40" display="https://www.texas-demographics.com/rockwall-county-demographics" xr:uid="{6C5BE173-0866-0C4A-871F-45E9C6428A61}"/>
    <hyperlink ref="B372" r:id="rId41" display="https://www.texas-demographics.com/hunt-county-demographics" xr:uid="{AAFF0BA0-92A7-894B-9FED-6E43E6EA27B1}"/>
    <hyperlink ref="B275" r:id="rId42" display="https://www.texas-demographics.com/bowie-county-demographics" xr:uid="{D551F98D-CBB4-B943-9320-E043D59DD783}"/>
    <hyperlink ref="B491" r:id="rId43" display="https://www.texas-demographics.com/victoria-county-demographics" xr:uid="{F82AC9BF-F3C2-7444-9C4B-C2DD037F27BA}"/>
    <hyperlink ref="B259" r:id="rId44" display="https://www.texas-demographics.com/angelina-county-demographics" xr:uid="{D0C844FF-9F85-814B-9B95-39736B8E38F3}"/>
    <hyperlink ref="B267" r:id="rId45" display="https://www.texas-demographics.com/bastrop-county-demographics" xr:uid="{85234A5E-3C7D-F84A-AF04-18F90C3DC0A8}"/>
    <hyperlink ref="B402" r:id="rId46" display="https://www.texas-demographics.com/liberty-county-demographics" xr:uid="{A3D7135D-B481-6F41-8BC4-0D14FB2F43E9}"/>
    <hyperlink ref="B437" r:id="rId47" display="https://www.texas-demographics.com/orange-county-demographics" xr:uid="{7755E94A-B241-3240-8B98-4204FFD092AF}"/>
    <hyperlink ref="B363" r:id="rId48" display="https://www.texas-demographics.com/henderson-county-demographics" xr:uid="{0256F45B-2614-094C-9F06-100DB650FCE8}"/>
    <hyperlink ref="B306" r:id="rId49" display="https://www.texas-demographics.com/coryell-county-demographics" xr:uid="{59296381-852C-E84D-8FF3-6DFACE46846E}"/>
    <hyperlink ref="B492" r:id="rId50" display="https://www.texas-demographics.com/walker-county-demographics" xr:uid="{F50E2F6C-D0E4-9648-839A-5DC48E8F2B79}"/>
    <hyperlink ref="B504" r:id="rId51" display="https://www.texas-demographics.com/wise-county-demographics" xr:uid="{F42BE876-364C-A747-9A6B-CC9FED0B2B50}"/>
    <hyperlink ref="B461" r:id="rId52" display="https://www.texas-demographics.com/san-patricio-county-demographics" xr:uid="{CDDDCF82-CCF8-6C4F-9775-472ADCC6119D}"/>
    <hyperlink ref="B358" r:id="rId53" display="https://www.texas-demographics.com/harrison-county-demographics" xr:uid="{6EC48B47-1CD5-0846-AA54-CE5727BADF66}"/>
    <hyperlink ref="B430" r:id="rId54" display="https://www.texas-demographics.com/nacogdoches-county-demographics" xr:uid="{D34A1C4B-E8C9-414D-8DC3-8DEF3659C4C4}"/>
    <hyperlink ref="B470" r:id="rId55" display="https://www.texas-demographics.com/starr-county-demographics" xr:uid="{83527390-57FB-034E-BA03-52DA309F7552}"/>
    <hyperlink ref="B367" r:id="rId56" display="https://www.texas-demographics.com/hood-county-demographics" xr:uid="{0463D8E3-8B5A-6348-819E-DC53CCA2D721}"/>
    <hyperlink ref="B415" r:id="rId57" display="https://www.texas-demographics.com/maverick-county-demographics" xr:uid="{78BBF49C-1CFD-8E43-A0EA-A8CAFF28EC06}"/>
    <hyperlink ref="B257" r:id="rId58" display="https://www.texas-demographics.com/anderson-county-demographics" xr:uid="{622EB12E-018E-EB46-8284-15B3D71A5D39}"/>
    <hyperlink ref="B356" r:id="rId59" display="https://www.texas-demographics.com/hardin-county-demographics" xr:uid="{FEA87658-FAFA-354F-AFE5-30C6DAF52E7B}"/>
    <hyperlink ref="B490" r:id="rId60" display="https://www.texas-demographics.com/van-zandt-county-demographics" xr:uid="{FC63E2F8-9FE7-744B-8A6A-98F2B6336A17}"/>
    <hyperlink ref="B457" r:id="rId61" display="https://www.texas-demographics.com/rusk-county-demographics" xr:uid="{C6E35AE5-9E68-8E47-BE26-1EA7E409F74B}"/>
    <hyperlink ref="B493" r:id="rId62" display="https://www.texas-demographics.com/waller-county-demographics" xr:uid="{7837865F-AD91-714C-88DC-56D670C0BCEE}"/>
    <hyperlink ref="B293" r:id="rId63" display="https://www.texas-demographics.com/cherokee-county-demographics" xr:uid="{A52F18C9-C848-694C-A042-A06DC17D4B49}"/>
    <hyperlink ref="B389" r:id="rId64" display="https://www.texas-demographics.com/kerr-county-demographics" xr:uid="{C8542144-4D34-9E4F-81F3-10C6A41910DB}"/>
    <hyperlink ref="B419" r:id="rId65" display="https://www.texas-demographics.com/medina-county-demographics" xr:uid="{432F63FF-4B53-BB48-A7DC-50AA26792B30}"/>
    <hyperlink ref="B263" r:id="rId66" display="https://www.texas-demographics.com/atascosa-county-demographics" xr:uid="{9D2A6A2F-8C69-6844-8511-EB63C53A62E8}"/>
    <hyperlink ref="B443" r:id="rId67" display="https://www.texas-demographics.com/polk-county-demographics" xr:uid="{CABBAE96-F581-DE48-8D6C-F7E3BF38E471}"/>
    <hyperlink ref="B502" r:id="rId68" display="https://www.texas-demographics.com/wilson-county-demographics" xr:uid="{B179B851-EBFA-CA4E-91F5-BD475031E1DA}"/>
    <hyperlink ref="B396" r:id="rId69" display="https://www.texas-demographics.com/lamar-county-demographics" xr:uid="{35D3281D-CFC6-5046-8C68-2AF9326BAA66}"/>
    <hyperlink ref="B431" r:id="rId70" display="https://www.texas-demographics.com/navarro-county-demographics" xr:uid="{C0AA5DC4-AC34-1843-B1E3-D29148E552FD}"/>
    <hyperlink ref="B489" r:id="rId71" display="https://www.texas-demographics.com/val-verde-county-demographics" xr:uid="{B936645B-D17C-DC4F-8CF7-663CEC78FAD1}"/>
    <hyperlink ref="B283" r:id="rId72" display="https://www.texas-demographics.com/burnet-county-demographics" xr:uid="{5E2ED70F-292C-7E43-8A85-9D6B78A5A3D4}"/>
    <hyperlink ref="B386" r:id="rId73" display="https://www.texas-demographics.com/kendall-county-demographics" xr:uid="{96153711-482F-8141-926D-202B23D1E349}"/>
    <hyperlink ref="B505" r:id="rId74" display="https://www.texas-demographics.com/wood-county-demographics" xr:uid="{AD87A0B7-FD75-2C43-BD49-076F375F9046}"/>
    <hyperlink ref="B284" r:id="rId75" display="https://www.texas-demographics.com/caldwell-county-demographics" xr:uid="{20861A0F-E979-F14A-8EE7-9306251B8144}"/>
    <hyperlink ref="B292" r:id="rId76" display="https://www.texas-demographics.com/chambers-county-demographics" xr:uid="{35E8B02A-7852-2A4B-848A-BA70577C2A66}"/>
    <hyperlink ref="B328" r:id="rId77" display="https://www.texas-demographics.com/erath-county-demographics" xr:uid="{BEA4A8B2-6709-1F40-8E12-937EC473FB4B}"/>
    <hyperlink ref="B497" r:id="rId78" display="https://www.texas-demographics.com/wharton-county-demographics" xr:uid="{53A69EF3-8892-6B40-A8C4-3156BE13A72E}"/>
    <hyperlink ref="B486" r:id="rId79" display="https://www.texas-demographics.com/upshur-county-demographics" xr:uid="{D928E983-674B-894F-9CC7-A721AE7C894C}"/>
    <hyperlink ref="B381" r:id="rId80" display="https://www.texas-demographics.com/jim-wells-county-demographics" xr:uid="{174D0505-153D-3E4C-8B30-62999E936039}"/>
    <hyperlink ref="B305" r:id="rId81" display="https://www.texas-demographics.com/cooke-county-demographics" xr:uid="{0D68471F-6086-2B46-AD2A-56F998C3FBA9}"/>
    <hyperlink ref="B281" r:id="rId82" display="https://www.texas-demographics.com/brown-county-demographics" xr:uid="{F972F74E-E941-4045-AD54-B8FC698DD733}"/>
    <hyperlink ref="B414" r:id="rId83" display="https://www.texas-demographics.com/matagorda-county-demographics" xr:uid="{BCE55CCD-1305-234D-B0D2-6A64D1AFDBF7}"/>
    <hyperlink ref="B368" r:id="rId84" display="https://www.texas-demographics.com/hopkins-county-demographics" xr:uid="{91BA4EAF-5932-D64A-B112-A20B99F6E8D5}"/>
    <hyperlink ref="B370" r:id="rId85" display="https://www.texas-demographics.com/howard-county-demographics" xr:uid="{8B222792-F2C2-7841-A26B-CD1E1960EE6D}"/>
    <hyperlink ref="B365" r:id="rId86" display="https://www.texas-demographics.com/hill-county-demographics" xr:uid="{9D7832A9-F256-584B-849F-B5C86877E59A}"/>
    <hyperlink ref="B377" r:id="rId87" display="https://www.texas-demographics.com/jasper-county-demographics" xr:uid="{C1348FC5-00A2-5246-B751-C56DBDFCF83B}"/>
    <hyperlink ref="B495" r:id="rId88" display="https://www.texas-demographics.com/washington-county-demographics" xr:uid="{CFD810FB-CF97-7B43-993E-FE361A472492}"/>
    <hyperlink ref="B330" r:id="rId89" display="https://www.texas-demographics.com/fannin-county-demographics" xr:uid="{5A770D9F-6826-0C41-A7D0-6CB850076576}"/>
    <hyperlink ref="B351" r:id="rId90" display="https://www.texas-demographics.com/hale-county-demographics" xr:uid="{CED2AEEF-0142-814F-A0A9-42F7D595FD72}"/>
    <hyperlink ref="B481" r:id="rId91" display="https://www.texas-demographics.com/titus-county-demographics" xr:uid="{CFFAA260-BA0B-4748-A28F-9A5253DD30A8}"/>
    <hyperlink ref="B269" r:id="rId92" display="https://www.texas-demographics.com/bee-county-demographics" xr:uid="{5AEE7143-D5D9-774E-A622-56CC5923454C}"/>
    <hyperlink ref="B393" r:id="rId93" display="https://www.texas-demographics.com/kleberg-county-demographics" xr:uid="{C944A3AF-9426-F244-9561-215877202405}"/>
    <hyperlink ref="B290" r:id="rId94" display="https://www.texas-demographics.com/cass-county-demographics" xr:uid="{474FA2A0-636C-0B4E-964D-AF124D96E077}"/>
    <hyperlink ref="B264" r:id="rId95" display="https://www.texas-demographics.com/austin-county-demographics" xr:uid="{AE0BB715-83A2-9F4E-9C32-CA59D3B29293}"/>
    <hyperlink ref="B438" r:id="rId96" display="https://www.texas-demographics.com/palo-pinto-county-demographics" xr:uid="{A04205D5-1BB0-2549-BDB0-F3B6AD0DCF8C}"/>
    <hyperlink ref="B460" r:id="rId97" display="https://www.texas-demographics.com/san-jacinto-county-demographics" xr:uid="{3B5807A5-A9F2-A446-86CD-699178A5D371}"/>
    <hyperlink ref="B349" r:id="rId98" display="https://www.texas-demographics.com/grimes-county-demographics" xr:uid="{CAEE5545-30E9-DA42-893E-7741A4D429B4}"/>
    <hyperlink ref="B488" r:id="rId99" display="https://www.texas-demographics.com/uvalde-county-demographics" xr:uid="{8A3050A2-8AFF-AA4A-ADE2-ECEF4427DD55}"/>
    <hyperlink ref="B342" r:id="rId100" display="https://www.texas-demographics.com/gillespie-county-demographics" xr:uid="{3E89BD9F-C50E-4D4C-BB10-300C1F205ACD}"/>
  </hyperlinks>
  <pageMargins left="0.7" right="0.7" top="0.75" bottom="0.75" header="0.3" footer="0.3"/>
  <tableParts count="2">
    <tablePart r:id="rId101"/>
    <tablePart r:id="rId10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22FF-9E81-3C4D-BD1C-EA539CB1FA2A}">
  <dimension ref="A1:S113"/>
  <sheetViews>
    <sheetView topLeftCell="H1" workbookViewId="0">
      <selection activeCell="R3" sqref="R3"/>
    </sheetView>
  </sheetViews>
  <sheetFormatPr baseColWidth="10" defaultRowHeight="13"/>
  <cols>
    <col min="2" max="2" width="12.83203125" customWidth="1"/>
    <col min="3" max="3" width="17.33203125" customWidth="1"/>
    <col min="6" max="6" width="10.83203125" style="1"/>
    <col min="8" max="8" width="25.5" bestFit="1" customWidth="1"/>
    <col min="9" max="9" width="18.33203125" customWidth="1"/>
    <col min="10" max="10" width="18.33203125" style="1" customWidth="1"/>
    <col min="11" max="11" width="15.5" customWidth="1"/>
    <col min="12" max="12" width="17.33203125" customWidth="1"/>
    <col min="13" max="13" width="17.33203125" style="1" customWidth="1"/>
    <col min="14" max="14" width="14.5" customWidth="1"/>
    <col min="16" max="16" width="10.83203125" style="1"/>
    <col min="17" max="17" width="16" bestFit="1" customWidth="1"/>
  </cols>
  <sheetData>
    <row r="1" spans="1:19" ht="17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s="44" t="s">
        <v>1686</v>
      </c>
      <c r="H1" s="15" t="s">
        <v>165</v>
      </c>
      <c r="I1" s="15" t="s">
        <v>166</v>
      </c>
      <c r="J1" s="15" t="s">
        <v>1677</v>
      </c>
      <c r="K1" s="15" t="s">
        <v>167</v>
      </c>
      <c r="L1" s="15" t="s">
        <v>168</v>
      </c>
      <c r="M1" s="15" t="s">
        <v>1687</v>
      </c>
      <c r="N1" s="15" t="s">
        <v>169</v>
      </c>
      <c r="O1" s="15" t="s">
        <v>62</v>
      </c>
      <c r="P1" s="15"/>
      <c r="R1" s="15" t="s">
        <v>267</v>
      </c>
      <c r="S1" s="15" t="s">
        <v>328</v>
      </c>
    </row>
    <row r="2" spans="1:19" ht="20">
      <c r="A2" s="30" t="s">
        <v>69</v>
      </c>
      <c r="B2" s="31" t="s">
        <v>857</v>
      </c>
      <c r="C2" s="30">
        <v>2015</v>
      </c>
      <c r="D2" s="30" t="s">
        <v>803</v>
      </c>
      <c r="E2" s="30">
        <v>19.100000000000001</v>
      </c>
      <c r="F2" s="31">
        <f>E2/(MAX(E:E)-MIN(E:E))</f>
        <v>0.23264311814859931</v>
      </c>
      <c r="H2" s="16" t="s">
        <v>825</v>
      </c>
      <c r="I2" s="17">
        <v>5116</v>
      </c>
      <c r="J2" s="80">
        <f>Table45[[#This Row],[TRUMP VOTES]]/C59</f>
        <v>0.30925466964879406</v>
      </c>
      <c r="K2" s="18">
        <v>0.76600000000000001</v>
      </c>
      <c r="L2" s="17">
        <v>1457</v>
      </c>
      <c r="M2" s="80">
        <f>Table45[[#This Row],[BIDEN VOTES]]/C59</f>
        <v>8.8073505410143263E-2</v>
      </c>
      <c r="N2" s="18">
        <v>0.218</v>
      </c>
      <c r="O2" s="82">
        <f>1-(Table45[[#This Row],[NbP]]+Table45[[#This Row],[NbP2]])</f>
        <v>0.60267182494106275</v>
      </c>
      <c r="Q2" s="81" t="s">
        <v>1671</v>
      </c>
      <c r="R2" s="81">
        <f>CORREL(F:F,J:J)</f>
        <v>0.13511609789238455</v>
      </c>
      <c r="S2" s="81">
        <v>0.1</v>
      </c>
    </row>
    <row r="3" spans="1:19" ht="20">
      <c r="A3" s="32" t="s">
        <v>69</v>
      </c>
      <c r="B3" s="33" t="s">
        <v>858</v>
      </c>
      <c r="C3" s="32">
        <v>2015</v>
      </c>
      <c r="D3" s="32" t="s">
        <v>803</v>
      </c>
      <c r="E3" s="32">
        <v>8.3000000000000007</v>
      </c>
      <c r="F3" s="31">
        <f t="shared" ref="F3:F56" si="0">E3/(MAX(E:E)-MIN(E:E))</f>
        <v>0.10109622411693059</v>
      </c>
      <c r="H3" s="16" t="s">
        <v>826</v>
      </c>
      <c r="I3" s="17">
        <v>33279</v>
      </c>
      <c r="J3" s="80">
        <f>Table45[[#This Row],[TRUMP VOTES]]/C60</f>
        <v>0.28294860349445222</v>
      </c>
      <c r="K3" s="18">
        <v>0.64600000000000002</v>
      </c>
      <c r="L3" s="17">
        <v>17186</v>
      </c>
      <c r="M3" s="80">
        <f>Table45[[#This Row],[BIDEN VOTES]]/C60</f>
        <v>0.14612081792288398</v>
      </c>
      <c r="N3" s="18">
        <v>0.33300000000000002</v>
      </c>
      <c r="O3" s="82">
        <f>1-(Table45[[#This Row],[NbP]]+Table45[[#This Row],[NbP2]])</f>
        <v>0.57093057858266383</v>
      </c>
      <c r="Q3" s="81" t="s">
        <v>1672</v>
      </c>
      <c r="R3" s="81">
        <f>CORREL(F:F,M:M)</f>
        <v>-0.28259578223839649</v>
      </c>
      <c r="S3" s="81">
        <v>0.05</v>
      </c>
    </row>
    <row r="4" spans="1:19" ht="20">
      <c r="A4" s="30" t="s">
        <v>69</v>
      </c>
      <c r="B4" s="31" t="s">
        <v>859</v>
      </c>
      <c r="C4" s="30">
        <v>2015</v>
      </c>
      <c r="D4" s="30" t="s">
        <v>803</v>
      </c>
      <c r="E4" s="30">
        <v>32</v>
      </c>
      <c r="F4" s="31">
        <f t="shared" si="0"/>
        <v>0.38976857490864802</v>
      </c>
      <c r="H4" s="16" t="s">
        <v>827</v>
      </c>
      <c r="I4" s="17">
        <v>6816</v>
      </c>
      <c r="J4" s="80">
        <f>Table45[[#This Row],[TRUMP VOTES]]/C61</f>
        <v>0.31127551719413621</v>
      </c>
      <c r="K4" s="18">
        <v>0.75600000000000001</v>
      </c>
      <c r="L4" s="17">
        <v>2041</v>
      </c>
      <c r="M4" s="80">
        <f>Table45[[#This Row],[BIDEN VOTES]]/C61</f>
        <v>9.3209115403936615E-2</v>
      </c>
      <c r="N4" s="18">
        <v>0.22600000000000001</v>
      </c>
      <c r="O4" s="82">
        <f>1-(Table45[[#This Row],[NbP]]+Table45[[#This Row],[NbP2]])</f>
        <v>0.59551536740192712</v>
      </c>
      <c r="Q4" s="81" t="s">
        <v>1679</v>
      </c>
      <c r="R4" s="81">
        <f>CORREL(F:F,O:O)</f>
        <v>0.10715838843880107</v>
      </c>
      <c r="S4" s="81">
        <v>0.1</v>
      </c>
    </row>
    <row r="5" spans="1:19" ht="20">
      <c r="A5" s="32" t="s">
        <v>69</v>
      </c>
      <c r="B5" s="33" t="s">
        <v>860</v>
      </c>
      <c r="C5" s="32">
        <v>2015</v>
      </c>
      <c r="D5" s="32" t="s">
        <v>803</v>
      </c>
      <c r="E5" s="32">
        <v>52.6</v>
      </c>
      <c r="F5" s="31">
        <f t="shared" si="0"/>
        <v>0.64068209500609019</v>
      </c>
      <c r="H5" s="16" t="s">
        <v>828</v>
      </c>
      <c r="I5" s="17">
        <v>4120</v>
      </c>
      <c r="J5" s="80">
        <f>Table45[[#This Row],[TRUMP VOTES]]/C62</f>
        <v>0.29361459521094641</v>
      </c>
      <c r="K5" s="18">
        <v>0.72699999999999998</v>
      </c>
      <c r="L5" s="17">
        <v>1457</v>
      </c>
      <c r="M5" s="80">
        <f>Table45[[#This Row],[BIDEN VOTES]]/C62</f>
        <v>0.10383409350057013</v>
      </c>
      <c r="N5" s="18">
        <v>0.25700000000000001</v>
      </c>
      <c r="O5" s="82">
        <f>1-(Table45[[#This Row],[NbP]]+Table45[[#This Row],[NbP2]])</f>
        <v>0.60255131128848349</v>
      </c>
      <c r="Q5" s="81"/>
      <c r="R5" s="81"/>
      <c r="S5" s="81"/>
    </row>
    <row r="6" spans="1:19" ht="20">
      <c r="A6" s="30" t="s">
        <v>69</v>
      </c>
      <c r="B6" s="31" t="s">
        <v>861</v>
      </c>
      <c r="C6" s="30">
        <v>2015</v>
      </c>
      <c r="D6" s="30" t="s">
        <v>803</v>
      </c>
      <c r="E6" s="30">
        <v>26</v>
      </c>
      <c r="F6" s="31">
        <f t="shared" si="0"/>
        <v>0.31668696711327654</v>
      </c>
      <c r="H6" s="16" t="s">
        <v>829</v>
      </c>
      <c r="I6" s="17">
        <v>7545</v>
      </c>
      <c r="J6" s="80">
        <f>Table45[[#This Row],[TRUMP VOTES]]/C63</f>
        <v>0.34044761303131488</v>
      </c>
      <c r="K6" s="18">
        <v>0.70799999999999996</v>
      </c>
      <c r="L6" s="17">
        <v>2947</v>
      </c>
      <c r="M6" s="80">
        <f>Table45[[#This Row],[BIDEN VOTES]]/C63</f>
        <v>0.13297536323436512</v>
      </c>
      <c r="N6" s="18">
        <v>0.27700000000000002</v>
      </c>
      <c r="O6" s="82">
        <f>1-(Table45[[#This Row],[NbP]]+Table45[[#This Row],[NbP2]])</f>
        <v>0.52657702373432003</v>
      </c>
      <c r="Q6" s="81"/>
      <c r="R6" s="81"/>
      <c r="S6" s="81"/>
    </row>
    <row r="7" spans="1:19" ht="20">
      <c r="A7" s="32" t="s">
        <v>69</v>
      </c>
      <c r="B7" s="33" t="s">
        <v>862</v>
      </c>
      <c r="C7" s="32">
        <v>2015</v>
      </c>
      <c r="D7" s="32" t="s">
        <v>803</v>
      </c>
      <c r="E7" s="32">
        <v>23</v>
      </c>
      <c r="F7" s="31">
        <f t="shared" si="0"/>
        <v>0.28014616321559077</v>
      </c>
      <c r="H7" s="16" t="s">
        <v>830</v>
      </c>
      <c r="I7" s="17">
        <v>21721</v>
      </c>
      <c r="J7" s="80">
        <f>Table45[[#This Row],[TRUMP VOTES]]/C64</f>
        <v>0.23273829933139037</v>
      </c>
      <c r="K7" s="18">
        <v>0.58099999999999996</v>
      </c>
      <c r="L7" s="17">
        <v>14994</v>
      </c>
      <c r="M7" s="80">
        <f>Table45[[#This Row],[BIDEN VOTES]]/C64</f>
        <v>0.1606591805246014</v>
      </c>
      <c r="N7" s="18">
        <v>0.40100000000000002</v>
      </c>
      <c r="O7" s="82">
        <f>1-(Table45[[#This Row],[NbP]]+Table45[[#This Row],[NbP2]])</f>
        <v>0.60660252014400817</v>
      </c>
    </row>
    <row r="8" spans="1:19" ht="20">
      <c r="A8" s="30" t="s">
        <v>69</v>
      </c>
      <c r="B8" s="31" t="s">
        <v>586</v>
      </c>
      <c r="C8" s="30">
        <v>2015</v>
      </c>
      <c r="D8" s="30" t="s">
        <v>803</v>
      </c>
      <c r="E8" s="30">
        <v>68.7</v>
      </c>
      <c r="F8" s="31">
        <f t="shared" si="0"/>
        <v>0.8367844092570037</v>
      </c>
      <c r="H8" s="16" t="s">
        <v>358</v>
      </c>
      <c r="I8" s="17">
        <v>2364</v>
      </c>
      <c r="J8" s="80">
        <f>Table45[[#This Row],[TRUMP VOTES]]/C65</f>
        <v>0.32901878914405008</v>
      </c>
      <c r="K8" s="18">
        <v>0.79600000000000004</v>
      </c>
      <c r="L8" s="19">
        <v>568</v>
      </c>
      <c r="M8" s="80">
        <f>Table45[[#This Row],[BIDEN VOTES]]/C65</f>
        <v>7.9053583855254003E-2</v>
      </c>
      <c r="N8" s="18">
        <v>0.191</v>
      </c>
      <c r="O8" s="82">
        <f>1-(Table45[[#This Row],[NbP]]+Table45[[#This Row],[NbP2]])</f>
        <v>0.5919276270006959</v>
      </c>
    </row>
    <row r="9" spans="1:19" ht="20">
      <c r="A9" s="32" t="s">
        <v>69</v>
      </c>
      <c r="B9" s="33" t="s">
        <v>84</v>
      </c>
      <c r="C9" s="32">
        <v>2015</v>
      </c>
      <c r="D9" s="32" t="s">
        <v>803</v>
      </c>
      <c r="E9" s="32">
        <v>59.2</v>
      </c>
      <c r="F9" s="31">
        <f t="shared" si="0"/>
        <v>0.72107186358099884</v>
      </c>
      <c r="H9" s="16" t="s">
        <v>183</v>
      </c>
      <c r="I9" s="17">
        <v>2679</v>
      </c>
      <c r="J9" s="80">
        <f>Table45[[#This Row],[TRUMP VOTES]]/C66</f>
        <v>0.3115478544016746</v>
      </c>
      <c r="K9" s="18">
        <v>0.79600000000000004</v>
      </c>
      <c r="L9" s="19">
        <v>641</v>
      </c>
      <c r="M9" s="80">
        <f>Table45[[#This Row],[BIDEN VOTES]]/C66</f>
        <v>7.454355157576463E-2</v>
      </c>
      <c r="N9" s="18">
        <v>0.19</v>
      </c>
      <c r="O9" s="82">
        <f>1-(Table45[[#This Row],[NbP]]+Table45[[#This Row],[NbP2]])</f>
        <v>0.61390859402256082</v>
      </c>
    </row>
    <row r="10" spans="1:19" ht="20">
      <c r="A10" s="30" t="s">
        <v>69</v>
      </c>
      <c r="B10" s="31" t="s">
        <v>863</v>
      </c>
      <c r="C10" s="30">
        <v>2015</v>
      </c>
      <c r="D10" s="30" t="s">
        <v>803</v>
      </c>
      <c r="E10" s="30">
        <v>29.8</v>
      </c>
      <c r="F10" s="31">
        <f t="shared" si="0"/>
        <v>0.36297198538367847</v>
      </c>
      <c r="H10" s="16" t="s">
        <v>831</v>
      </c>
      <c r="I10" s="17">
        <v>2619</v>
      </c>
      <c r="J10" s="80">
        <f>Table45[[#This Row],[TRUMP VOTES]]/C67</f>
        <v>0.30815390045887753</v>
      </c>
      <c r="K10" s="18">
        <v>0.84499999999999997</v>
      </c>
      <c r="L10" s="19">
        <v>435</v>
      </c>
      <c r="M10" s="80">
        <f>Table45[[#This Row],[BIDEN VOTES]]/C67</f>
        <v>5.1182492057889162E-2</v>
      </c>
      <c r="N10" s="18">
        <v>0.14000000000000001</v>
      </c>
      <c r="O10" s="82">
        <f>1-(Table45[[#This Row],[NbP]]+Table45[[#This Row],[NbP2]])</f>
        <v>0.64066360748323326</v>
      </c>
    </row>
    <row r="11" spans="1:19" ht="20">
      <c r="A11" s="32" t="s">
        <v>69</v>
      </c>
      <c r="B11" s="33" t="s">
        <v>94</v>
      </c>
      <c r="C11" s="32">
        <v>2015</v>
      </c>
      <c r="D11" s="32" t="s">
        <v>803</v>
      </c>
      <c r="E11" s="32">
        <v>35.4</v>
      </c>
      <c r="F11" s="31">
        <f t="shared" si="0"/>
        <v>0.43118148599269185</v>
      </c>
      <c r="H11" s="16" t="s">
        <v>193</v>
      </c>
      <c r="I11" s="17">
        <v>11580</v>
      </c>
      <c r="J11" s="80">
        <f>Table45[[#This Row],[TRUMP VOTES]]/C68</f>
        <v>0.26875855826583422</v>
      </c>
      <c r="K11" s="18">
        <v>0.68700000000000006</v>
      </c>
      <c r="L11" s="17">
        <v>5063</v>
      </c>
      <c r="M11" s="80">
        <f>Table45[[#This Row],[BIDEN VOTES]]/C68</f>
        <v>0.11750644045767865</v>
      </c>
      <c r="N11" s="18">
        <v>0.3</v>
      </c>
      <c r="O11" s="82">
        <f>1-(Table45[[#This Row],[NbP]]+Table45[[#This Row],[NbP2]])</f>
        <v>0.61373500127648706</v>
      </c>
    </row>
    <row r="12" spans="1:19" ht="20">
      <c r="A12" s="30" t="s">
        <v>69</v>
      </c>
      <c r="B12" s="31" t="s">
        <v>864</v>
      </c>
      <c r="C12" s="30">
        <v>2015</v>
      </c>
      <c r="D12" s="30" t="s">
        <v>803</v>
      </c>
      <c r="E12" s="30">
        <v>40</v>
      </c>
      <c r="F12" s="31">
        <f t="shared" si="0"/>
        <v>0.48721071863581</v>
      </c>
      <c r="H12" s="16" t="s">
        <v>832</v>
      </c>
      <c r="I12" s="17">
        <v>2012</v>
      </c>
      <c r="J12" s="80">
        <f>Table45[[#This Row],[TRUMP VOTES]]/C69</f>
        <v>0.25244667503136764</v>
      </c>
      <c r="K12" s="18">
        <v>0.75600000000000001</v>
      </c>
      <c r="L12" s="19">
        <v>599</v>
      </c>
      <c r="M12" s="80">
        <f>Table45[[#This Row],[BIDEN VOTES]]/C69</f>
        <v>7.5156838143036392E-2</v>
      </c>
      <c r="N12" s="18">
        <v>0.22500000000000001</v>
      </c>
      <c r="O12" s="82">
        <f>1-(Table45[[#This Row],[NbP]]+Table45[[#This Row],[NbP2]])</f>
        <v>0.67239648682559594</v>
      </c>
    </row>
    <row r="13" spans="1:19" ht="20">
      <c r="A13" s="32" t="s">
        <v>69</v>
      </c>
      <c r="B13" s="33" t="s">
        <v>313</v>
      </c>
      <c r="C13" s="32">
        <v>2015</v>
      </c>
      <c r="D13" s="32" t="s">
        <v>803</v>
      </c>
      <c r="E13" s="32">
        <v>34.4</v>
      </c>
      <c r="F13" s="31">
        <f t="shared" si="0"/>
        <v>0.41900121802679657</v>
      </c>
      <c r="H13" s="16" t="s">
        <v>278</v>
      </c>
      <c r="I13" s="17">
        <v>4871</v>
      </c>
      <c r="J13" s="80">
        <f>Table45[[#This Row],[TRUMP VOTES]]/C70</f>
        <v>0.42118460873324687</v>
      </c>
      <c r="K13" s="18">
        <v>0.88400000000000001</v>
      </c>
      <c r="L13" s="19">
        <v>607</v>
      </c>
      <c r="M13" s="80">
        <f>Table45[[#This Row],[BIDEN VOTES]]/C70</f>
        <v>5.248594898400346E-2</v>
      </c>
      <c r="N13" s="18">
        <v>0.11</v>
      </c>
      <c r="O13" s="82">
        <f>1-(Table45[[#This Row],[NbP]]+Table45[[#This Row],[NbP2]])</f>
        <v>0.52632944228274969</v>
      </c>
    </row>
    <row r="14" spans="1:19" ht="20">
      <c r="A14" s="30" t="s">
        <v>69</v>
      </c>
      <c r="B14" s="31" t="s">
        <v>865</v>
      </c>
      <c r="C14" s="30">
        <v>2015</v>
      </c>
      <c r="D14" s="30" t="s">
        <v>803</v>
      </c>
      <c r="E14" s="30">
        <v>26.5</v>
      </c>
      <c r="F14" s="31">
        <f t="shared" si="0"/>
        <v>0.32277710109622415</v>
      </c>
      <c r="H14" s="16" t="s">
        <v>833</v>
      </c>
      <c r="I14" s="17">
        <v>10925</v>
      </c>
      <c r="J14" s="80">
        <f>Table45[[#This Row],[TRUMP VOTES]]/C71</f>
        <v>0.31310004872037372</v>
      </c>
      <c r="K14" s="18">
        <v>0.68899999999999995</v>
      </c>
      <c r="L14" s="17">
        <v>4655</v>
      </c>
      <c r="M14" s="80">
        <f>Table45[[#This Row],[BIDEN VOTES]]/C71</f>
        <v>0.13340784684607226</v>
      </c>
      <c r="N14" s="18">
        <v>0.29399999999999998</v>
      </c>
      <c r="O14" s="82">
        <f>1-(Table45[[#This Row],[NbP]]+Table45[[#This Row],[NbP2]])</f>
        <v>0.55349210443355401</v>
      </c>
    </row>
    <row r="15" spans="1:19" ht="20">
      <c r="A15" s="32" t="s">
        <v>69</v>
      </c>
      <c r="B15" s="33" t="s">
        <v>866</v>
      </c>
      <c r="C15" s="32">
        <v>2015</v>
      </c>
      <c r="D15" s="32" t="s">
        <v>803</v>
      </c>
      <c r="E15" s="32">
        <v>18.899999999999999</v>
      </c>
      <c r="F15" s="31">
        <f t="shared" si="0"/>
        <v>0.23020706455542023</v>
      </c>
      <c r="H15" s="16" t="s">
        <v>834</v>
      </c>
      <c r="I15" s="17">
        <v>8033</v>
      </c>
      <c r="J15" s="80">
        <f>Table45[[#This Row],[TRUMP VOTES]]/C72</f>
        <v>0.34470477171301062</v>
      </c>
      <c r="K15" s="18">
        <v>0.79600000000000004</v>
      </c>
      <c r="L15" s="17">
        <v>1939</v>
      </c>
      <c r="M15" s="80">
        <f>Table45[[#This Row],[BIDEN VOTES]]/C72</f>
        <v>8.3204600068657736E-2</v>
      </c>
      <c r="N15" s="18">
        <v>0.192</v>
      </c>
      <c r="O15" s="82">
        <f>1-(Table45[[#This Row],[NbP]]+Table45[[#This Row],[NbP2]])</f>
        <v>0.57209062821833168</v>
      </c>
    </row>
    <row r="16" spans="1:19" ht="20">
      <c r="A16" s="30" t="s">
        <v>69</v>
      </c>
      <c r="B16" s="31" t="s">
        <v>104</v>
      </c>
      <c r="C16" s="30">
        <v>2015</v>
      </c>
      <c r="D16" s="30" t="s">
        <v>803</v>
      </c>
      <c r="E16" s="30">
        <v>40</v>
      </c>
      <c r="F16" s="31">
        <f t="shared" si="0"/>
        <v>0.48721071863581</v>
      </c>
      <c r="H16" s="16" t="s">
        <v>203</v>
      </c>
      <c r="I16" s="17">
        <v>9806</v>
      </c>
      <c r="J16" s="80">
        <f>Table45[[#This Row],[TRUMP VOTES]]/C73</f>
        <v>0.33676763513977609</v>
      </c>
      <c r="K16" s="18">
        <v>0.71099999999999997</v>
      </c>
      <c r="L16" s="17">
        <v>3790</v>
      </c>
      <c r="M16" s="80">
        <f>Table45[[#This Row],[BIDEN VOTES]]/C73</f>
        <v>0.13016003846418023</v>
      </c>
      <c r="N16" s="18">
        <v>0.27500000000000002</v>
      </c>
      <c r="O16" s="82">
        <f>1-(Table45[[#This Row],[NbP]]+Table45[[#This Row],[NbP2]])</f>
        <v>0.53307232639604374</v>
      </c>
    </row>
    <row r="17" spans="1:15" ht="20">
      <c r="A17" s="32" t="s">
        <v>69</v>
      </c>
      <c r="B17" s="33" t="s">
        <v>867</v>
      </c>
      <c r="C17" s="32">
        <v>2015</v>
      </c>
      <c r="D17" s="32" t="s">
        <v>803</v>
      </c>
      <c r="E17" s="32">
        <v>19.100000000000001</v>
      </c>
      <c r="F17" s="31">
        <f t="shared" si="0"/>
        <v>0.23264311814859931</v>
      </c>
      <c r="H17" s="16" t="s">
        <v>835</v>
      </c>
      <c r="I17" s="17">
        <v>4859</v>
      </c>
      <c r="J17" s="80">
        <f>Table45[[#This Row],[TRUMP VOTES]]/C74</f>
        <v>0.3523823337442889</v>
      </c>
      <c r="K17" s="18">
        <v>0.76700000000000002</v>
      </c>
      <c r="L17" s="17">
        <v>1381</v>
      </c>
      <c r="M17" s="80">
        <f>Table45[[#This Row],[BIDEN VOTES]]/C74</f>
        <v>0.10015229530785409</v>
      </c>
      <c r="N17" s="18">
        <v>0.218</v>
      </c>
      <c r="O17" s="82">
        <f>1-(Table45[[#This Row],[NbP]]+Table45[[#This Row],[NbP2]])</f>
        <v>0.54746537094785697</v>
      </c>
    </row>
    <row r="18" spans="1:15" ht="20">
      <c r="A18" s="30" t="s">
        <v>69</v>
      </c>
      <c r="B18" s="31" t="s">
        <v>651</v>
      </c>
      <c r="C18" s="30">
        <v>2015</v>
      </c>
      <c r="D18" s="30" t="s">
        <v>803</v>
      </c>
      <c r="E18" s="30">
        <v>14.1</v>
      </c>
      <c r="F18" s="31">
        <f t="shared" si="0"/>
        <v>0.17174177831912302</v>
      </c>
      <c r="H18" s="16" t="s">
        <v>424</v>
      </c>
      <c r="I18" s="17">
        <v>20683</v>
      </c>
      <c r="J18" s="80">
        <f>Table45[[#This Row],[TRUMP VOTES]]/C75</f>
        <v>0.30587104406980181</v>
      </c>
      <c r="K18" s="18">
        <v>0.67900000000000005</v>
      </c>
      <c r="L18" s="17">
        <v>9215</v>
      </c>
      <c r="M18" s="80">
        <f>Table45[[#This Row],[BIDEN VOTES]]/C75</f>
        <v>0.13627624963028689</v>
      </c>
      <c r="N18" s="18">
        <v>0.30199999999999999</v>
      </c>
      <c r="O18" s="82">
        <f>1-(Table45[[#This Row],[NbP]]+Table45[[#This Row],[NbP2]])</f>
        <v>0.55785270629991124</v>
      </c>
    </row>
    <row r="19" spans="1:15" ht="20">
      <c r="A19" s="32" t="s">
        <v>69</v>
      </c>
      <c r="B19" s="33" t="s">
        <v>114</v>
      </c>
      <c r="C19" s="32">
        <v>2015</v>
      </c>
      <c r="D19" s="32" t="s">
        <v>803</v>
      </c>
      <c r="E19" s="32">
        <v>35.799999999999997</v>
      </c>
      <c r="F19" s="31">
        <f t="shared" si="0"/>
        <v>0.43605359317904996</v>
      </c>
      <c r="H19" s="16" t="s">
        <v>213</v>
      </c>
      <c r="I19" s="17">
        <v>10093</v>
      </c>
      <c r="J19" s="80">
        <f>Table45[[#This Row],[TRUMP VOTES]]/C76</f>
        <v>0.35053658875421112</v>
      </c>
      <c r="K19" s="18">
        <v>0.747</v>
      </c>
      <c r="L19" s="17">
        <v>3207</v>
      </c>
      <c r="M19" s="80">
        <f>Table45[[#This Row],[BIDEN VOTES]]/C76</f>
        <v>0.11138123849546765</v>
      </c>
      <c r="N19" s="18">
        <v>0.23699999999999999</v>
      </c>
      <c r="O19" s="82">
        <f>1-(Table45[[#This Row],[NbP]]+Table45[[#This Row],[NbP2]])</f>
        <v>0.53808217275032122</v>
      </c>
    </row>
    <row r="20" spans="1:15" ht="20">
      <c r="A20" s="30" t="s">
        <v>69</v>
      </c>
      <c r="B20" s="31" t="s">
        <v>115</v>
      </c>
      <c r="C20" s="30">
        <v>2015</v>
      </c>
      <c r="D20" s="30" t="s">
        <v>803</v>
      </c>
      <c r="E20" s="30">
        <v>7.7</v>
      </c>
      <c r="F20" s="31">
        <f t="shared" si="0"/>
        <v>9.3788063337393437E-2</v>
      </c>
      <c r="H20" s="16" t="s">
        <v>214</v>
      </c>
      <c r="I20" s="17">
        <v>15033</v>
      </c>
      <c r="J20" s="80">
        <f>Table45[[#This Row],[TRUMP VOTES]]/C77</f>
        <v>0.26409823969642671</v>
      </c>
      <c r="K20" s="18">
        <v>0.54300000000000004</v>
      </c>
      <c r="L20" s="17">
        <v>12127</v>
      </c>
      <c r="M20" s="80">
        <f>Table45[[#This Row],[BIDEN VOTES]]/C77</f>
        <v>0.2130459224904255</v>
      </c>
      <c r="N20" s="18">
        <v>0.438</v>
      </c>
      <c r="O20" s="82">
        <f>1-(Table45[[#This Row],[NbP]]+Table45[[#This Row],[NbP2]])</f>
        <v>0.52285583781314782</v>
      </c>
    </row>
    <row r="21" spans="1:15" ht="20">
      <c r="A21" s="32" t="s">
        <v>69</v>
      </c>
      <c r="B21" s="33" t="s">
        <v>868</v>
      </c>
      <c r="C21" s="32">
        <v>2015</v>
      </c>
      <c r="D21" s="32" t="s">
        <v>803</v>
      </c>
      <c r="E21" s="32">
        <v>19.100000000000001</v>
      </c>
      <c r="F21" s="31">
        <f t="shared" si="0"/>
        <v>0.23264311814859931</v>
      </c>
      <c r="H21" s="16" t="s">
        <v>836</v>
      </c>
      <c r="I21" s="17">
        <v>46398</v>
      </c>
      <c r="J21" s="80">
        <f>Table45[[#This Row],[TRUMP VOTES]]/C78</f>
        <v>0.25632271537008189</v>
      </c>
      <c r="K21" s="18">
        <v>0.56399999999999995</v>
      </c>
      <c r="L21" s="17">
        <v>34344</v>
      </c>
      <c r="M21" s="80">
        <f>Table45[[#This Row],[BIDEN VOTES]]/C78</f>
        <v>0.18973118101362327</v>
      </c>
      <c r="N21" s="18">
        <v>0.41799999999999998</v>
      </c>
      <c r="O21" s="82">
        <f>1-(Table45[[#This Row],[NbP]]+Table45[[#This Row],[NbP2]])</f>
        <v>0.55394610361629482</v>
      </c>
    </row>
    <row r="22" spans="1:15" ht="20">
      <c r="A22" s="30" t="s">
        <v>69</v>
      </c>
      <c r="B22" s="31" t="s">
        <v>121</v>
      </c>
      <c r="C22" s="30">
        <v>2015</v>
      </c>
      <c r="D22" s="30" t="s">
        <v>803</v>
      </c>
      <c r="E22" s="30">
        <v>27.9</v>
      </c>
      <c r="F22" s="31">
        <f t="shared" si="0"/>
        <v>0.33982947624847748</v>
      </c>
      <c r="H22" s="16" t="s">
        <v>220</v>
      </c>
      <c r="I22" s="17">
        <v>5782</v>
      </c>
      <c r="J22" s="80">
        <f>Table45[[#This Row],[TRUMP VOTES]]/C79</f>
        <v>0.3608337493759361</v>
      </c>
      <c r="K22" s="18">
        <v>0.77500000000000002</v>
      </c>
      <c r="L22" s="17">
        <v>1538</v>
      </c>
      <c r="M22" s="80">
        <f>Table45[[#This Row],[BIDEN VOTES]]/C79</f>
        <v>9.598102845731403E-2</v>
      </c>
      <c r="N22" s="18">
        <v>0.20599999999999999</v>
      </c>
      <c r="O22" s="82">
        <f>1-(Table45[[#This Row],[NbP]]+Table45[[#This Row],[NbP2]])</f>
        <v>0.54318522216674991</v>
      </c>
    </row>
    <row r="23" spans="1:15" ht="20">
      <c r="A23" s="32" t="s">
        <v>69</v>
      </c>
      <c r="B23" s="33" t="s">
        <v>122</v>
      </c>
      <c r="C23" s="32">
        <v>2015</v>
      </c>
      <c r="D23" s="32" t="s">
        <v>803</v>
      </c>
      <c r="E23" s="32">
        <v>45.5</v>
      </c>
      <c r="F23" s="31">
        <f t="shared" si="0"/>
        <v>0.55420219244823388</v>
      </c>
      <c r="H23" s="16" t="s">
        <v>221</v>
      </c>
      <c r="I23" s="17">
        <v>6012</v>
      </c>
      <c r="J23" s="80">
        <f>Table45[[#This Row],[TRUMP VOTES]]/C80</f>
        <v>0.29160401610321579</v>
      </c>
      <c r="K23" s="18">
        <v>0.76800000000000002</v>
      </c>
      <c r="L23" s="17">
        <v>1711</v>
      </c>
      <c r="M23" s="80">
        <f>Table45[[#This Row],[BIDEN VOTES]]/C80</f>
        <v>8.2989765727312412E-2</v>
      </c>
      <c r="N23" s="18">
        <v>0.219</v>
      </c>
      <c r="O23" s="82">
        <f>1-(Table45[[#This Row],[NbP]]+Table45[[#This Row],[NbP2]])</f>
        <v>0.62540621816947173</v>
      </c>
    </row>
    <row r="24" spans="1:15" ht="20">
      <c r="A24" s="30" t="s">
        <v>69</v>
      </c>
      <c r="B24" s="31" t="s">
        <v>869</v>
      </c>
      <c r="C24" s="30">
        <v>2015</v>
      </c>
      <c r="D24" s="30" t="s">
        <v>803</v>
      </c>
      <c r="E24" s="30">
        <v>11.8</v>
      </c>
      <c r="F24" s="31">
        <f t="shared" si="0"/>
        <v>0.14372716199756397</v>
      </c>
      <c r="H24" s="16" t="s">
        <v>837</v>
      </c>
      <c r="I24" s="17">
        <v>10534</v>
      </c>
      <c r="J24" s="80">
        <f>Table45[[#This Row],[TRUMP VOTES]]/C81</f>
        <v>0.32319823274936338</v>
      </c>
      <c r="K24" s="18">
        <v>0.80900000000000005</v>
      </c>
      <c r="L24" s="17">
        <v>2333</v>
      </c>
      <c r="M24" s="80">
        <f>Table45[[#This Row],[BIDEN VOTES]]/C81</f>
        <v>7.1579787070843434E-2</v>
      </c>
      <c r="N24" s="18">
        <v>0.17899999999999999</v>
      </c>
      <c r="O24" s="82">
        <f>1-(Table45[[#This Row],[NbP]]+Table45[[#This Row],[NbP2]])</f>
        <v>0.60522198017979312</v>
      </c>
    </row>
    <row r="25" spans="1:15" ht="20">
      <c r="A25" s="32" t="s">
        <v>69</v>
      </c>
      <c r="B25" s="33" t="s">
        <v>870</v>
      </c>
      <c r="C25" s="32">
        <v>2015</v>
      </c>
      <c r="D25" s="32" t="s">
        <v>803</v>
      </c>
      <c r="E25" s="32">
        <v>11.9</v>
      </c>
      <c r="F25" s="31">
        <f t="shared" si="0"/>
        <v>0.1449451887941535</v>
      </c>
      <c r="H25" s="16" t="s">
        <v>227</v>
      </c>
      <c r="I25" s="17">
        <v>16300</v>
      </c>
      <c r="J25" s="80">
        <f>Table45[[#This Row],[TRUMP VOTES]]/C82</f>
        <v>0.28986538153753133</v>
      </c>
      <c r="K25" s="18">
        <v>0.63200000000000001</v>
      </c>
      <c r="L25" s="17">
        <v>8901</v>
      </c>
      <c r="M25" s="80">
        <f>Table45[[#This Row],[BIDEN VOTES]]/C82</f>
        <v>0.158287838102182</v>
      </c>
      <c r="N25" s="18">
        <v>0.34499999999999997</v>
      </c>
      <c r="O25" s="82">
        <f>1-(Table45[[#This Row],[NbP]]+Table45[[#This Row],[NbP2]])</f>
        <v>0.55184678036028667</v>
      </c>
    </row>
    <row r="26" spans="1:15" ht="20">
      <c r="A26" s="30" t="s">
        <v>69</v>
      </c>
      <c r="B26" s="31" t="s">
        <v>126</v>
      </c>
      <c r="C26" s="30">
        <v>2015</v>
      </c>
      <c r="D26" s="30" t="s">
        <v>803</v>
      </c>
      <c r="E26" s="30">
        <v>53.7</v>
      </c>
      <c r="F26" s="31">
        <f t="shared" si="0"/>
        <v>0.65408038976857497</v>
      </c>
      <c r="H26" s="16" t="s">
        <v>228</v>
      </c>
      <c r="I26" s="17">
        <v>10435</v>
      </c>
      <c r="J26" s="80">
        <f>Table45[[#This Row],[TRUMP VOTES]]/C83</f>
        <v>0.3377022653721683</v>
      </c>
      <c r="K26" s="18">
        <v>0.74099999999999999</v>
      </c>
      <c r="L26" s="17">
        <v>3455</v>
      </c>
      <c r="M26" s="80">
        <f>Table45[[#This Row],[BIDEN VOTES]]/C83</f>
        <v>0.11181229773462784</v>
      </c>
      <c r="N26" s="18">
        <v>0.245</v>
      </c>
      <c r="O26" s="82">
        <f>1-(Table45[[#This Row],[NbP]]+Table45[[#This Row],[NbP2]])</f>
        <v>0.55048543689320384</v>
      </c>
    </row>
    <row r="27" spans="1:15" ht="20">
      <c r="A27" s="32" t="s">
        <v>69</v>
      </c>
      <c r="B27" s="33" t="s">
        <v>127</v>
      </c>
      <c r="C27" s="32">
        <v>2015</v>
      </c>
      <c r="D27" s="32" t="s">
        <v>803</v>
      </c>
      <c r="E27" s="32">
        <v>17.399999999999999</v>
      </c>
      <c r="F27" s="31">
        <f t="shared" si="0"/>
        <v>0.21193666260657734</v>
      </c>
      <c r="H27" s="16" t="s">
        <v>470</v>
      </c>
      <c r="I27" s="17">
        <v>8491</v>
      </c>
      <c r="J27" s="80">
        <f>Table45[[#This Row],[TRUMP VOTES]]/C84</f>
        <v>0.31801498127340821</v>
      </c>
      <c r="K27" s="18">
        <v>0.75800000000000001</v>
      </c>
      <c r="L27" s="17">
        <v>2526</v>
      </c>
      <c r="M27" s="80">
        <f>Table45[[#This Row],[BIDEN VOTES]]/C84</f>
        <v>9.4606741573033712E-2</v>
      </c>
      <c r="N27" s="18">
        <v>0.22500000000000001</v>
      </c>
      <c r="O27" s="82">
        <f>1-(Table45[[#This Row],[NbP]]+Table45[[#This Row],[NbP2]])</f>
        <v>0.58737827715355806</v>
      </c>
    </row>
    <row r="28" spans="1:15" ht="20">
      <c r="A28" s="30" t="s">
        <v>69</v>
      </c>
      <c r="B28" s="31" t="s">
        <v>701</v>
      </c>
      <c r="C28" s="30">
        <v>2015</v>
      </c>
      <c r="D28" s="30" t="s">
        <v>803</v>
      </c>
      <c r="E28" s="30">
        <v>18.7</v>
      </c>
      <c r="F28" s="31">
        <f t="shared" si="0"/>
        <v>0.22777101096224117</v>
      </c>
      <c r="H28" s="16" t="s">
        <v>838</v>
      </c>
      <c r="I28" s="17">
        <v>5148</v>
      </c>
      <c r="J28" s="80">
        <f>Table45[[#This Row],[TRUMP VOTES]]/C85</f>
        <v>0.28468727534148097</v>
      </c>
      <c r="K28" s="18">
        <v>0.78900000000000003</v>
      </c>
      <c r="L28" s="17">
        <v>1333</v>
      </c>
      <c r="M28" s="80">
        <f>Table45[[#This Row],[BIDEN VOTES]]/C85</f>
        <v>7.371564452800973E-2</v>
      </c>
      <c r="N28" s="18">
        <v>0.20399999999999999</v>
      </c>
      <c r="O28" s="82">
        <f>1-(Table45[[#This Row],[NbP]]+Table45[[#This Row],[NbP2]])</f>
        <v>0.64159708013050931</v>
      </c>
    </row>
    <row r="29" spans="1:15" ht="20">
      <c r="A29" s="32" t="s">
        <v>69</v>
      </c>
      <c r="B29" s="33" t="s">
        <v>812</v>
      </c>
      <c r="C29" s="32">
        <v>2015</v>
      </c>
      <c r="D29" s="32" t="s">
        <v>803</v>
      </c>
      <c r="E29" s="32">
        <v>12.7</v>
      </c>
      <c r="F29" s="31">
        <f t="shared" si="0"/>
        <v>0.15468940316686966</v>
      </c>
      <c r="H29" s="16" t="s">
        <v>794</v>
      </c>
      <c r="I29" s="17">
        <v>19237</v>
      </c>
      <c r="J29" s="80">
        <f>Table45[[#This Row],[TRUMP VOTES]]/C86</f>
        <v>0.32401886474650499</v>
      </c>
      <c r="K29" s="18">
        <v>0.76500000000000001</v>
      </c>
      <c r="L29" s="17">
        <v>5556</v>
      </c>
      <c r="M29" s="80">
        <f>Table45[[#This Row],[BIDEN VOTES]]/C86</f>
        <v>9.358261748357756E-2</v>
      </c>
      <c r="N29" s="18">
        <v>0.221</v>
      </c>
      <c r="O29" s="82">
        <f>1-(Table45[[#This Row],[NbP]]+Table45[[#This Row],[NbP2]])</f>
        <v>0.58239851776991747</v>
      </c>
    </row>
    <row r="30" spans="1:15" ht="20">
      <c r="A30" s="30" t="s">
        <v>69</v>
      </c>
      <c r="B30" s="31" t="s">
        <v>871</v>
      </c>
      <c r="C30" s="30">
        <v>2015</v>
      </c>
      <c r="D30" s="30" t="s">
        <v>803</v>
      </c>
      <c r="E30" s="30">
        <v>87.6</v>
      </c>
      <c r="F30" s="31">
        <f t="shared" si="0"/>
        <v>1.066991473812424</v>
      </c>
      <c r="H30" s="16" t="s">
        <v>839</v>
      </c>
      <c r="I30" s="17">
        <v>10040</v>
      </c>
      <c r="J30" s="80">
        <f>Table45[[#This Row],[TRUMP VOTES]]/C87</f>
        <v>0.3712056790032166</v>
      </c>
      <c r="K30" s="18">
        <v>0.78</v>
      </c>
      <c r="L30" s="17">
        <v>2660</v>
      </c>
      <c r="M30" s="80">
        <f>Table45[[#This Row],[BIDEN VOTES]]/C87</f>
        <v>9.8347321329537468E-2</v>
      </c>
      <c r="N30" s="18">
        <v>0.20699999999999999</v>
      </c>
      <c r="O30" s="82">
        <f>1-(Table45[[#This Row],[NbP]]+Table45[[#This Row],[NbP2]])</f>
        <v>0.53044699966724596</v>
      </c>
    </row>
    <row r="31" spans="1:15" ht="20">
      <c r="A31" s="32" t="s">
        <v>69</v>
      </c>
      <c r="B31" s="33" t="s">
        <v>872</v>
      </c>
      <c r="C31" s="32">
        <v>2015</v>
      </c>
      <c r="D31" s="32" t="s">
        <v>803</v>
      </c>
      <c r="E31" s="32">
        <v>13.4</v>
      </c>
      <c r="F31" s="31">
        <f t="shared" si="0"/>
        <v>0.16321559074299635</v>
      </c>
      <c r="H31" s="16" t="s">
        <v>840</v>
      </c>
      <c r="I31" s="17">
        <v>8544</v>
      </c>
      <c r="J31" s="80">
        <f>Table45[[#This Row],[TRUMP VOTES]]/C88</f>
        <v>0.3588709677419355</v>
      </c>
      <c r="K31" s="18">
        <v>0.85299999999999998</v>
      </c>
      <c r="L31" s="17">
        <v>1397</v>
      </c>
      <c r="M31" s="80">
        <f>Table45[[#This Row],[BIDEN VOTES]]/C88</f>
        <v>5.8677755376344086E-2</v>
      </c>
      <c r="N31" s="18">
        <v>0.13900000000000001</v>
      </c>
      <c r="O31" s="82">
        <f>1-(Table45[[#This Row],[NbP]]+Table45[[#This Row],[NbP2]])</f>
        <v>0.58245127688172049</v>
      </c>
    </row>
    <row r="32" spans="1:15" ht="20">
      <c r="A32" s="30" t="s">
        <v>69</v>
      </c>
      <c r="B32" s="31" t="s">
        <v>873</v>
      </c>
      <c r="C32" s="30">
        <v>2015</v>
      </c>
      <c r="D32" s="30" t="s">
        <v>803</v>
      </c>
      <c r="E32" s="30">
        <v>17.899999999999999</v>
      </c>
      <c r="F32" s="31">
        <f t="shared" si="0"/>
        <v>0.21802679658952498</v>
      </c>
      <c r="H32" s="16" t="s">
        <v>841</v>
      </c>
      <c r="I32" s="17">
        <v>20803</v>
      </c>
      <c r="J32" s="80">
        <f>Table45[[#This Row],[TRUMP VOTES]]/C89</f>
        <v>0.19589250065915853</v>
      </c>
      <c r="K32" s="18">
        <v>0.49399999999999999</v>
      </c>
      <c r="L32" s="17">
        <v>20282</v>
      </c>
      <c r="M32" s="80">
        <f>Table45[[#This Row],[BIDEN VOTES]]/C89</f>
        <v>0.19098647783344005</v>
      </c>
      <c r="N32" s="18">
        <v>0.48199999999999998</v>
      </c>
      <c r="O32" s="82">
        <f>1-(Table45[[#This Row],[NbP]]+Table45[[#This Row],[NbP2]])</f>
        <v>0.61312102150740144</v>
      </c>
    </row>
    <row r="33" spans="1:15" ht="20">
      <c r="A33" s="32" t="s">
        <v>69</v>
      </c>
      <c r="B33" s="33" t="s">
        <v>132</v>
      </c>
      <c r="C33" s="32">
        <v>2015</v>
      </c>
      <c r="D33" s="32" t="s">
        <v>803</v>
      </c>
      <c r="E33" s="32">
        <v>80.7</v>
      </c>
      <c r="F33" s="31">
        <f t="shared" si="0"/>
        <v>0.98294762484774678</v>
      </c>
      <c r="H33" s="16" t="s">
        <v>231</v>
      </c>
      <c r="I33" s="17">
        <v>5068</v>
      </c>
      <c r="J33" s="80">
        <f>Table45[[#This Row],[TRUMP VOTES]]/C90</f>
        <v>0.37979616306954439</v>
      </c>
      <c r="K33" s="18">
        <v>0.78100000000000003</v>
      </c>
      <c r="L33" s="17">
        <v>1345</v>
      </c>
      <c r="M33" s="80">
        <f>Table45[[#This Row],[BIDEN VOTES]]/C90</f>
        <v>0.10079436450839328</v>
      </c>
      <c r="N33" s="18">
        <v>0.20699999999999999</v>
      </c>
      <c r="O33" s="82">
        <f>1-(Table45[[#This Row],[NbP]]+Table45[[#This Row],[NbP2]])</f>
        <v>0.51940947242206237</v>
      </c>
    </row>
    <row r="34" spans="1:15" ht="20">
      <c r="A34" s="30" t="s">
        <v>69</v>
      </c>
      <c r="B34" s="31" t="s">
        <v>135</v>
      </c>
      <c r="C34" s="30">
        <v>2015</v>
      </c>
      <c r="D34" s="30" t="s">
        <v>803</v>
      </c>
      <c r="E34" s="30">
        <v>25.4</v>
      </c>
      <c r="F34" s="31">
        <f t="shared" si="0"/>
        <v>0.30937880633373932</v>
      </c>
      <c r="H34" s="16" t="s">
        <v>234</v>
      </c>
      <c r="I34" s="17">
        <v>6537</v>
      </c>
      <c r="J34" s="80">
        <f>Table45[[#This Row],[TRUMP VOTES]]/C91</f>
        <v>0.36724719101123593</v>
      </c>
      <c r="K34" s="18">
        <v>0.752</v>
      </c>
      <c r="L34" s="17">
        <v>1998</v>
      </c>
      <c r="M34" s="80">
        <f>Table45[[#This Row],[BIDEN VOTES]]/C91</f>
        <v>0.11224719101123595</v>
      </c>
      <c r="N34" s="18">
        <v>0.23</v>
      </c>
      <c r="O34" s="82">
        <f>1-(Table45[[#This Row],[NbP]]+Table45[[#This Row],[NbP2]])</f>
        <v>0.52050561797752815</v>
      </c>
    </row>
    <row r="35" spans="1:15" ht="20">
      <c r="A35" s="32" t="s">
        <v>69</v>
      </c>
      <c r="B35" s="33" t="s">
        <v>874</v>
      </c>
      <c r="C35" s="32">
        <v>2015</v>
      </c>
      <c r="D35" s="32" t="s">
        <v>803</v>
      </c>
      <c r="E35" s="32">
        <v>59.6</v>
      </c>
      <c r="F35" s="31">
        <f t="shared" si="0"/>
        <v>0.72594397076735695</v>
      </c>
      <c r="H35" s="16" t="s">
        <v>842</v>
      </c>
      <c r="I35" s="17">
        <v>8279</v>
      </c>
      <c r="J35" s="80">
        <f>Table45[[#This Row],[TRUMP VOTES]]/C92</f>
        <v>0.33306513255823311</v>
      </c>
      <c r="K35" s="18">
        <v>0.77900000000000003</v>
      </c>
      <c r="L35" s="17">
        <v>2226</v>
      </c>
      <c r="M35" s="80">
        <f>Table45[[#This Row],[BIDEN VOTES]]/C92</f>
        <v>8.9552238805970144E-2</v>
      </c>
      <c r="N35" s="18">
        <v>0.20899999999999999</v>
      </c>
      <c r="O35" s="82">
        <f>1-(Table45[[#This Row],[NbP]]+Table45[[#This Row],[NbP2]])</f>
        <v>0.57738262863579681</v>
      </c>
    </row>
    <row r="36" spans="1:15" ht="20">
      <c r="A36" s="30" t="s">
        <v>69</v>
      </c>
      <c r="B36" s="31" t="s">
        <v>9</v>
      </c>
      <c r="C36" s="30">
        <v>2015</v>
      </c>
      <c r="D36" s="30" t="s">
        <v>803</v>
      </c>
      <c r="E36" s="30">
        <v>23.9</v>
      </c>
      <c r="F36" s="31">
        <f t="shared" si="0"/>
        <v>0.29110840438489649</v>
      </c>
      <c r="H36" s="16" t="s">
        <v>843</v>
      </c>
      <c r="I36" s="17">
        <v>12354</v>
      </c>
      <c r="J36" s="80">
        <f>Table45[[#This Row],[TRUMP VOTES]]/C93</f>
        <v>0.29502089552238808</v>
      </c>
      <c r="K36" s="18">
        <v>0.621</v>
      </c>
      <c r="L36" s="17">
        <v>7223</v>
      </c>
      <c r="M36" s="80">
        <f>Table45[[#This Row],[BIDEN VOTES]]/C93</f>
        <v>0.17248955223880597</v>
      </c>
      <c r="N36" s="18">
        <v>0.36299999999999999</v>
      </c>
      <c r="O36" s="82">
        <f>1-(Table45[[#This Row],[NbP]]+Table45[[#This Row],[NbP2]])</f>
        <v>0.53248955223880601</v>
      </c>
    </row>
    <row r="37" spans="1:15" ht="20">
      <c r="A37" s="32" t="s">
        <v>69</v>
      </c>
      <c r="B37" s="33" t="s">
        <v>875</v>
      </c>
      <c r="C37" s="32">
        <v>2015</v>
      </c>
      <c r="D37" s="32" t="s">
        <v>803</v>
      </c>
      <c r="E37" s="32">
        <v>15.5</v>
      </c>
      <c r="F37" s="31">
        <f t="shared" si="0"/>
        <v>0.18879415347137637</v>
      </c>
      <c r="H37" s="16" t="s">
        <v>844</v>
      </c>
      <c r="I37" s="17">
        <v>2782</v>
      </c>
      <c r="J37" s="80">
        <f>Table45[[#This Row],[TRUMP VOTES]]/C94</f>
        <v>0.39925373134328357</v>
      </c>
      <c r="K37" s="18">
        <v>0.76</v>
      </c>
      <c r="L37" s="19">
        <v>820</v>
      </c>
      <c r="M37" s="80">
        <f>Table45[[#This Row],[BIDEN VOTES]]/C94</f>
        <v>0.11768082663605052</v>
      </c>
      <c r="N37" s="18">
        <v>0.224</v>
      </c>
      <c r="O37" s="82">
        <f>1-(Table45[[#This Row],[NbP]]+Table45[[#This Row],[NbP2]])</f>
        <v>0.48306544202066592</v>
      </c>
    </row>
    <row r="38" spans="1:15" ht="20">
      <c r="A38" s="30" t="s">
        <v>69</v>
      </c>
      <c r="B38" s="31" t="s">
        <v>876</v>
      </c>
      <c r="C38" s="30">
        <v>2015</v>
      </c>
      <c r="D38" s="30" t="s">
        <v>803</v>
      </c>
      <c r="E38" s="30">
        <v>19.899999999999999</v>
      </c>
      <c r="F38" s="31">
        <f t="shared" si="0"/>
        <v>0.24238733252131547</v>
      </c>
      <c r="H38" s="16" t="s">
        <v>845</v>
      </c>
      <c r="I38" s="17">
        <v>2742</v>
      </c>
      <c r="J38" s="80">
        <f>Table45[[#This Row],[TRUMP VOTES]]/C95</f>
        <v>0.36770819364355639</v>
      </c>
      <c r="K38" s="18">
        <v>0.78500000000000003</v>
      </c>
      <c r="L38" s="19">
        <v>699</v>
      </c>
      <c r="M38" s="80">
        <f>Table45[[#This Row],[BIDEN VOTES]]/C95</f>
        <v>9.3737427920075098E-2</v>
      </c>
      <c r="N38" s="18">
        <v>0.2</v>
      </c>
      <c r="O38" s="82">
        <f>1-(Table45[[#This Row],[NbP]]+Table45[[#This Row],[NbP2]])</f>
        <v>0.53855437843636844</v>
      </c>
    </row>
    <row r="39" spans="1:15" ht="20">
      <c r="A39" s="32" t="s">
        <v>69</v>
      </c>
      <c r="B39" s="33" t="s">
        <v>877</v>
      </c>
      <c r="C39" s="32">
        <v>2015</v>
      </c>
      <c r="D39" s="32" t="s">
        <v>803</v>
      </c>
      <c r="E39" s="32">
        <v>37.700000000000003</v>
      </c>
      <c r="F39" s="31">
        <f t="shared" si="0"/>
        <v>0.45919610231425095</v>
      </c>
      <c r="H39" s="16" t="s">
        <v>846</v>
      </c>
      <c r="I39" s="17">
        <v>2895</v>
      </c>
      <c r="J39" s="80">
        <f>Table45[[#This Row],[TRUMP VOTES]]/C96</f>
        <v>0.34538296349319969</v>
      </c>
      <c r="K39" s="18">
        <v>0.72199999999999998</v>
      </c>
      <c r="L39" s="17">
        <v>1047</v>
      </c>
      <c r="M39" s="80">
        <f>Table45[[#This Row],[BIDEN VOTES]]/C96</f>
        <v>0.12491052254831782</v>
      </c>
      <c r="N39" s="18">
        <v>0.26100000000000001</v>
      </c>
      <c r="O39" s="82">
        <f>1-(Table45[[#This Row],[NbP]]+Table45[[#This Row],[NbP2]])</f>
        <v>0.52970651395848245</v>
      </c>
    </row>
    <row r="40" spans="1:15" ht="20">
      <c r="A40" s="30" t="s">
        <v>69</v>
      </c>
      <c r="B40" s="31" t="s">
        <v>878</v>
      </c>
      <c r="C40" s="30">
        <v>2015</v>
      </c>
      <c r="D40" s="30" t="s">
        <v>803</v>
      </c>
      <c r="E40" s="30">
        <v>15.4</v>
      </c>
      <c r="F40" s="31">
        <f t="shared" si="0"/>
        <v>0.18757612667478687</v>
      </c>
      <c r="H40" s="16" t="s">
        <v>847</v>
      </c>
      <c r="I40" s="17">
        <v>11190</v>
      </c>
      <c r="J40" s="80">
        <f>Table45[[#This Row],[TRUMP VOTES]]/C97</f>
        <v>0.3329366260041654</v>
      </c>
      <c r="K40" s="18">
        <v>0.76800000000000002</v>
      </c>
      <c r="L40" s="17">
        <v>3163</v>
      </c>
      <c r="M40" s="80">
        <f>Table45[[#This Row],[BIDEN VOTES]]/C97</f>
        <v>9.4108896161856595E-2</v>
      </c>
      <c r="N40" s="18">
        <v>0.217</v>
      </c>
      <c r="O40" s="82">
        <f>1-(Table45[[#This Row],[NbP]]+Table45[[#This Row],[NbP2]])</f>
        <v>0.57295447783397802</v>
      </c>
    </row>
    <row r="41" spans="1:15" ht="20">
      <c r="A41" s="32" t="s">
        <v>69</v>
      </c>
      <c r="B41" s="33" t="s">
        <v>141</v>
      </c>
      <c r="C41" s="32">
        <v>2015</v>
      </c>
      <c r="D41" s="32" t="s">
        <v>803</v>
      </c>
      <c r="E41" s="32">
        <v>5.5</v>
      </c>
      <c r="F41" s="31">
        <f t="shared" si="0"/>
        <v>6.6991473812423874E-2</v>
      </c>
      <c r="H41" s="16" t="s">
        <v>240</v>
      </c>
      <c r="I41" s="17">
        <v>20034</v>
      </c>
      <c r="J41" s="80">
        <f>Table45[[#This Row],[TRUMP VOTES]]/C98</f>
        <v>0.3539325842696629</v>
      </c>
      <c r="K41" s="18">
        <v>0.70299999999999996</v>
      </c>
      <c r="L41" s="17">
        <v>7878</v>
      </c>
      <c r="M41" s="80">
        <f>Table45[[#This Row],[BIDEN VOTES]]/C98</f>
        <v>0.13917744329022683</v>
      </c>
      <c r="N41" s="18">
        <v>0.27600000000000002</v>
      </c>
      <c r="O41" s="82">
        <f>1-(Table45[[#This Row],[NbP]]+Table45[[#This Row],[NbP2]])</f>
        <v>0.50688997244011025</v>
      </c>
    </row>
    <row r="42" spans="1:15" ht="20">
      <c r="A42" s="30" t="s">
        <v>69</v>
      </c>
      <c r="B42" s="31" t="s">
        <v>879</v>
      </c>
      <c r="C42" s="30">
        <v>2015</v>
      </c>
      <c r="D42" s="30" t="s">
        <v>803</v>
      </c>
      <c r="E42" s="30">
        <v>31.7</v>
      </c>
      <c r="F42" s="31">
        <f t="shared" si="0"/>
        <v>0.38611449451887941</v>
      </c>
      <c r="H42" s="16" t="s">
        <v>848</v>
      </c>
      <c r="I42" s="17">
        <v>24673</v>
      </c>
      <c r="J42" s="80">
        <f>Table45[[#This Row],[TRUMP VOTES]]/C99</f>
        <v>0.33139472411755228</v>
      </c>
      <c r="K42" s="18">
        <v>0.745</v>
      </c>
      <c r="L42" s="17">
        <v>7982</v>
      </c>
      <c r="M42" s="80">
        <f>Table45[[#This Row],[BIDEN VOTES]]/C99</f>
        <v>0.10721001450599044</v>
      </c>
      <c r="N42" s="18">
        <v>0.24099999999999999</v>
      </c>
      <c r="O42" s="82">
        <f>1-(Table45[[#This Row],[NbP]]+Table45[[#This Row],[NbP2]])</f>
        <v>0.56139526137645723</v>
      </c>
    </row>
    <row r="43" spans="1:15" ht="20">
      <c r="A43" s="32" t="s">
        <v>69</v>
      </c>
      <c r="B43" s="33" t="s">
        <v>880</v>
      </c>
      <c r="C43" s="32">
        <v>2015</v>
      </c>
      <c r="D43" s="32" t="s">
        <v>803</v>
      </c>
      <c r="E43" s="32">
        <v>23.6</v>
      </c>
      <c r="F43" s="31">
        <f t="shared" si="0"/>
        <v>0.28745432399512794</v>
      </c>
      <c r="H43" s="16" t="s">
        <v>849</v>
      </c>
      <c r="I43" s="17">
        <v>8673</v>
      </c>
      <c r="J43" s="80">
        <f>Table45[[#This Row],[TRUMP VOTES]]/C100</f>
        <v>0.30153321976149916</v>
      </c>
      <c r="K43" s="18">
        <v>0.71099999999999997</v>
      </c>
      <c r="L43" s="17">
        <v>3362</v>
      </c>
      <c r="M43" s="80">
        <f>Table45[[#This Row],[BIDEN VOTES]]/C100</f>
        <v>0.11688627750930014</v>
      </c>
      <c r="N43" s="18">
        <v>0.27600000000000002</v>
      </c>
      <c r="O43" s="82">
        <f>1-(Table45[[#This Row],[NbP]]+Table45[[#This Row],[NbP2]])</f>
        <v>0.5815805027292007</v>
      </c>
    </row>
    <row r="44" spans="1:15" ht="20">
      <c r="A44" s="30" t="s">
        <v>69</v>
      </c>
      <c r="B44" s="31" t="s">
        <v>881</v>
      </c>
      <c r="C44" s="30">
        <v>2015</v>
      </c>
      <c r="D44" s="30" t="s">
        <v>803</v>
      </c>
      <c r="E44" s="30">
        <v>30</v>
      </c>
      <c r="F44" s="31">
        <f t="shared" si="0"/>
        <v>0.36540803897685753</v>
      </c>
      <c r="H44" s="16" t="s">
        <v>850</v>
      </c>
      <c r="I44" s="17">
        <v>3649</v>
      </c>
      <c r="J44" s="80">
        <f>Table45[[#This Row],[TRUMP VOTES]]/C101</f>
        <v>0.37437160151841592</v>
      </c>
      <c r="K44" s="18">
        <v>0.85199999999999998</v>
      </c>
      <c r="L44" s="19">
        <v>586</v>
      </c>
      <c r="M44" s="80">
        <f>Table45[[#This Row],[BIDEN VOTES]]/C101</f>
        <v>6.0121062891145993E-2</v>
      </c>
      <c r="N44" s="18">
        <v>0.13700000000000001</v>
      </c>
      <c r="O44" s="82">
        <f>1-(Table45[[#This Row],[NbP]]+Table45[[#This Row],[NbP2]])</f>
        <v>0.56550733559043809</v>
      </c>
    </row>
    <row r="45" spans="1:15" ht="20">
      <c r="A45" s="32" t="s">
        <v>69</v>
      </c>
      <c r="B45" s="33" t="s">
        <v>143</v>
      </c>
      <c r="C45" s="32">
        <v>2015</v>
      </c>
      <c r="D45" s="32" t="s">
        <v>803</v>
      </c>
      <c r="E45" s="32">
        <v>42.9</v>
      </c>
      <c r="F45" s="31">
        <f t="shared" si="0"/>
        <v>0.52253349573690622</v>
      </c>
      <c r="H45" s="16" t="s">
        <v>242</v>
      </c>
      <c r="I45" s="17">
        <v>4213</v>
      </c>
      <c r="J45" s="80">
        <f>Table45[[#This Row],[TRUMP VOTES]]/C102</f>
        <v>0.30460559612464755</v>
      </c>
      <c r="K45" s="18">
        <v>0.73099999999999998</v>
      </c>
      <c r="L45" s="17">
        <v>1455</v>
      </c>
      <c r="M45" s="80">
        <f>Table45[[#This Row],[BIDEN VOTES]]/C102</f>
        <v>0.10519846721133685</v>
      </c>
      <c r="N45" s="18">
        <v>0.252</v>
      </c>
      <c r="O45" s="82">
        <f>1-(Table45[[#This Row],[NbP]]+Table45[[#This Row],[NbP2]])</f>
        <v>0.5901959366640156</v>
      </c>
    </row>
    <row r="46" spans="1:15" ht="20">
      <c r="A46" s="30" t="s">
        <v>69</v>
      </c>
      <c r="B46" s="31" t="s">
        <v>882</v>
      </c>
      <c r="C46" s="30">
        <v>2015</v>
      </c>
      <c r="D46" s="30" t="s">
        <v>803</v>
      </c>
      <c r="E46" s="30">
        <v>30.7</v>
      </c>
      <c r="F46" s="31">
        <f t="shared" si="0"/>
        <v>0.37393422655298419</v>
      </c>
      <c r="H46" s="16" t="s">
        <v>851</v>
      </c>
      <c r="I46" s="17">
        <v>4074</v>
      </c>
      <c r="J46" s="80">
        <f>Table45[[#This Row],[TRUMP VOTES]]/C103</f>
        <v>0.32053501180173094</v>
      </c>
      <c r="K46" s="18">
        <v>0.72899999999999998</v>
      </c>
      <c r="L46" s="17">
        <v>1448</v>
      </c>
      <c r="M46" s="80">
        <f>Table45[[#This Row],[BIDEN VOTES]]/C103</f>
        <v>0.11392604248623131</v>
      </c>
      <c r="N46" s="18">
        <v>0.25900000000000001</v>
      </c>
      <c r="O46" s="82">
        <f>1-(Table45[[#This Row],[NbP]]+Table45[[#This Row],[NbP2]])</f>
        <v>0.56553894571203778</v>
      </c>
    </row>
    <row r="47" spans="1:15" ht="20">
      <c r="A47" s="32" t="s">
        <v>69</v>
      </c>
      <c r="B47" s="33" t="s">
        <v>755</v>
      </c>
      <c r="C47" s="32">
        <v>2015</v>
      </c>
      <c r="D47" s="32" t="s">
        <v>803</v>
      </c>
      <c r="E47" s="32">
        <v>16.100000000000001</v>
      </c>
      <c r="F47" s="31">
        <f t="shared" si="0"/>
        <v>0.19610231425091354</v>
      </c>
      <c r="H47" s="16" t="s">
        <v>526</v>
      </c>
      <c r="I47" s="17">
        <v>5477</v>
      </c>
      <c r="J47" s="80">
        <f>Table45[[#This Row],[TRUMP VOTES]]/C104</f>
        <v>0.32568234524588213</v>
      </c>
      <c r="K47" s="18">
        <v>0.74199999999999999</v>
      </c>
      <c r="L47" s="17">
        <v>1796</v>
      </c>
      <c r="M47" s="80">
        <f>Table45[[#This Row],[BIDEN VOTES]]/C104</f>
        <v>0.10679669382172802</v>
      </c>
      <c r="N47" s="18">
        <v>0.24299999999999999</v>
      </c>
      <c r="O47" s="82">
        <f>1-(Table45[[#This Row],[NbP]]+Table45[[#This Row],[NbP2]])</f>
        <v>0.56752096093238991</v>
      </c>
    </row>
    <row r="48" spans="1:15" ht="20">
      <c r="A48" s="30" t="s">
        <v>69</v>
      </c>
      <c r="B48" s="31" t="s">
        <v>883</v>
      </c>
      <c r="C48" s="30">
        <v>2015</v>
      </c>
      <c r="D48" s="30" t="s">
        <v>803</v>
      </c>
      <c r="E48" s="30">
        <v>13.9</v>
      </c>
      <c r="F48" s="31">
        <f t="shared" si="0"/>
        <v>0.16930572472594399</v>
      </c>
      <c r="H48" s="16" t="s">
        <v>852</v>
      </c>
      <c r="I48" s="17">
        <v>2841</v>
      </c>
      <c r="J48" s="80">
        <f>Table45[[#This Row],[TRUMP VOTES]]/C105</f>
        <v>0.40918911133515773</v>
      </c>
      <c r="K48" s="18">
        <v>0.73899999999999999</v>
      </c>
      <c r="L48" s="19">
        <v>938</v>
      </c>
      <c r="M48" s="80">
        <f>Table45[[#This Row],[BIDEN VOTES]]/C105</f>
        <v>0.13510010082097076</v>
      </c>
      <c r="N48" s="18">
        <v>0.24399999999999999</v>
      </c>
      <c r="O48" s="82">
        <f>1-(Table45[[#This Row],[NbP]]+Table45[[#This Row],[NbP2]])</f>
        <v>0.45571078784387153</v>
      </c>
    </row>
    <row r="49" spans="1:15" ht="20">
      <c r="A49" s="32" t="s">
        <v>69</v>
      </c>
      <c r="B49" s="33" t="s">
        <v>763</v>
      </c>
      <c r="C49" s="32">
        <v>2015</v>
      </c>
      <c r="D49" s="32" t="s">
        <v>803</v>
      </c>
      <c r="E49" s="32">
        <v>22.5</v>
      </c>
      <c r="F49" s="31">
        <f t="shared" si="0"/>
        <v>0.27405602923264316</v>
      </c>
      <c r="H49" s="16" t="s">
        <v>534</v>
      </c>
      <c r="I49" s="17">
        <v>3226</v>
      </c>
      <c r="J49" s="80">
        <f>Table45[[#This Row],[TRUMP VOTES]]/C106</f>
        <v>0.3692765567765568</v>
      </c>
      <c r="K49" s="18">
        <v>0.82299999999999995</v>
      </c>
      <c r="L49" s="19">
        <v>631</v>
      </c>
      <c r="M49" s="80">
        <f>Table45[[#This Row],[BIDEN VOTES]]/C106</f>
        <v>7.2229853479853473E-2</v>
      </c>
      <c r="N49" s="18">
        <v>0.161</v>
      </c>
      <c r="O49" s="82">
        <f>1-(Table45[[#This Row],[NbP]]+Table45[[#This Row],[NbP2]])</f>
        <v>0.55849358974358976</v>
      </c>
    </row>
    <row r="50" spans="1:15" ht="20">
      <c r="A50" s="30" t="s">
        <v>69</v>
      </c>
      <c r="B50" s="31" t="s">
        <v>764</v>
      </c>
      <c r="C50" s="30">
        <v>2015</v>
      </c>
      <c r="D50" s="30" t="s">
        <v>803</v>
      </c>
      <c r="E50" s="30">
        <v>24.7</v>
      </c>
      <c r="F50" s="31">
        <f t="shared" si="0"/>
        <v>0.30085261875761266</v>
      </c>
      <c r="H50" s="16" t="s">
        <v>535</v>
      </c>
      <c r="I50" s="17">
        <v>7771</v>
      </c>
      <c r="J50" s="80">
        <f>Table45[[#This Row],[TRUMP VOTES]]/C107</f>
        <v>0.31781931209357489</v>
      </c>
      <c r="K50" s="18">
        <v>0.76</v>
      </c>
      <c r="L50" s="17">
        <v>2256</v>
      </c>
      <c r="M50" s="80">
        <f>Table45[[#This Row],[BIDEN VOTES]]/C107</f>
        <v>9.2266164983027282E-2</v>
      </c>
      <c r="N50" s="18">
        <v>0.221</v>
      </c>
      <c r="O50" s="82">
        <f>1-(Table45[[#This Row],[NbP]]+Table45[[#This Row],[NbP2]])</f>
        <v>0.58991452292339785</v>
      </c>
    </row>
    <row r="51" spans="1:15" ht="20">
      <c r="A51" s="32" t="s">
        <v>69</v>
      </c>
      <c r="B51" s="33" t="s">
        <v>160</v>
      </c>
      <c r="C51" s="32">
        <v>2015</v>
      </c>
      <c r="D51" s="32" t="s">
        <v>803</v>
      </c>
      <c r="E51" s="32">
        <v>21</v>
      </c>
      <c r="F51" s="31">
        <f t="shared" si="0"/>
        <v>0.25578562728380028</v>
      </c>
      <c r="H51" s="16" t="s">
        <v>259</v>
      </c>
      <c r="I51" s="17">
        <v>12585</v>
      </c>
      <c r="J51" s="80">
        <f>Table45[[#This Row],[TRUMP VOTES]]/C108</f>
        <v>0.3150030036043252</v>
      </c>
      <c r="K51" s="18">
        <v>0.74299999999999999</v>
      </c>
      <c r="L51" s="17">
        <v>4088</v>
      </c>
      <c r="M51" s="80">
        <f>Table45[[#This Row],[BIDEN VOTES]]/C108</f>
        <v>0.10232278734481377</v>
      </c>
      <c r="N51" s="18">
        <v>0.24099999999999999</v>
      </c>
      <c r="O51" s="82">
        <f>1-(Table45[[#This Row],[NbP]]+Table45[[#This Row],[NbP2]])</f>
        <v>0.58267420905086098</v>
      </c>
    </row>
    <row r="52" spans="1:15" ht="20">
      <c r="A52" s="30" t="s">
        <v>69</v>
      </c>
      <c r="B52" s="31" t="s">
        <v>884</v>
      </c>
      <c r="C52" s="30">
        <v>2015</v>
      </c>
      <c r="D52" s="30" t="s">
        <v>803</v>
      </c>
      <c r="E52" s="30">
        <v>65.7</v>
      </c>
      <c r="F52" s="31">
        <f t="shared" si="0"/>
        <v>0.80024360535931804</v>
      </c>
      <c r="H52" s="16" t="s">
        <v>853</v>
      </c>
      <c r="I52" s="17">
        <v>2759</v>
      </c>
      <c r="J52" s="80">
        <f>Table45[[#This Row],[TRUMP VOTES]]/C109</f>
        <v>0.33285076607552178</v>
      </c>
      <c r="K52" s="18">
        <v>0.81100000000000005</v>
      </c>
      <c r="L52" s="19">
        <v>610</v>
      </c>
      <c r="M52" s="80">
        <f>Table45[[#This Row],[BIDEN VOTES]]/C109</f>
        <v>7.3591506816262517E-2</v>
      </c>
      <c r="N52" s="18">
        <v>0.17899999999999999</v>
      </c>
      <c r="O52" s="82">
        <f>1-(Table45[[#This Row],[NbP]]+Table45[[#This Row],[NbP2]])</f>
        <v>0.59355772710821575</v>
      </c>
    </row>
    <row r="53" spans="1:15" ht="20">
      <c r="A53" s="32" t="s">
        <v>69</v>
      </c>
      <c r="B53" s="33" t="s">
        <v>885</v>
      </c>
      <c r="C53" s="32">
        <v>2015</v>
      </c>
      <c r="D53" s="32" t="s">
        <v>803</v>
      </c>
      <c r="E53" s="32">
        <v>19.100000000000001</v>
      </c>
      <c r="F53" s="31">
        <f t="shared" si="0"/>
        <v>0.23264311814859931</v>
      </c>
      <c r="H53" s="16" t="s">
        <v>854</v>
      </c>
      <c r="I53" s="17">
        <v>4993</v>
      </c>
      <c r="J53" s="80">
        <f>Table45[[#This Row],[TRUMP VOTES]]/C110</f>
        <v>0.32653194689686743</v>
      </c>
      <c r="K53" s="18">
        <v>0.749</v>
      </c>
      <c r="L53" s="17">
        <v>1539</v>
      </c>
      <c r="M53" s="80">
        <f>Table45[[#This Row],[BIDEN VOTES]]/C110</f>
        <v>0.10064743967039436</v>
      </c>
      <c r="N53" s="18">
        <v>0.23100000000000001</v>
      </c>
      <c r="O53" s="82">
        <f>1-(Table45[[#This Row],[NbP]]+Table45[[#This Row],[NbP2]])</f>
        <v>0.57282061343273827</v>
      </c>
    </row>
    <row r="54" spans="1:15" ht="20">
      <c r="A54" s="30" t="s">
        <v>69</v>
      </c>
      <c r="B54" s="31" t="s">
        <v>886</v>
      </c>
      <c r="C54" s="30">
        <v>2015</v>
      </c>
      <c r="D54" s="30" t="s">
        <v>803</v>
      </c>
      <c r="E54" s="30">
        <v>20.3</v>
      </c>
      <c r="F54" s="31">
        <f t="shared" si="0"/>
        <v>0.24725943970767358</v>
      </c>
      <c r="H54" s="16" t="s">
        <v>855</v>
      </c>
      <c r="I54" s="17">
        <v>2134</v>
      </c>
      <c r="J54" s="80">
        <f>Table45[[#This Row],[TRUMP VOTES]]/C111</f>
        <v>0.37022900763358779</v>
      </c>
      <c r="K54" s="18">
        <v>0.80400000000000005</v>
      </c>
      <c r="L54" s="19">
        <v>466</v>
      </c>
      <c r="M54" s="80">
        <f>Table45[[#This Row],[BIDEN VOTES]]/C111</f>
        <v>8.0846634281748792E-2</v>
      </c>
      <c r="N54" s="18">
        <v>0.17599999999999999</v>
      </c>
      <c r="O54" s="82">
        <f>1-(Table45[[#This Row],[NbP]]+Table45[[#This Row],[NbP2]])</f>
        <v>0.54892435808466344</v>
      </c>
    </row>
    <row r="55" spans="1:15" ht="20">
      <c r="A55" s="32" t="s">
        <v>69</v>
      </c>
      <c r="B55" s="33" t="s">
        <v>780</v>
      </c>
      <c r="C55" s="32">
        <v>2015</v>
      </c>
      <c r="D55" s="32" t="s">
        <v>803</v>
      </c>
      <c r="E55" s="32">
        <v>22.8</v>
      </c>
      <c r="F55" s="31">
        <f t="shared" si="0"/>
        <v>0.27771010962241172</v>
      </c>
      <c r="H55" s="16" t="s">
        <v>551</v>
      </c>
      <c r="I55" s="17">
        <v>27202</v>
      </c>
      <c r="J55" s="80">
        <f>Table45[[#This Row],[TRUMP VOTES]]/C112</f>
        <v>0.32234822899261734</v>
      </c>
      <c r="K55" s="18">
        <v>0.70199999999999996</v>
      </c>
      <c r="L55" s="17">
        <v>10926</v>
      </c>
      <c r="M55" s="80">
        <f>Table45[[#This Row],[BIDEN VOTES]]/C112</f>
        <v>0.12947491912261366</v>
      </c>
      <c r="N55" s="18">
        <v>0.28199999999999997</v>
      </c>
      <c r="O55" s="82">
        <f>1-(Table45[[#This Row],[NbP]]+Table45[[#This Row],[NbP2]])</f>
        <v>0.54817685188476895</v>
      </c>
    </row>
    <row r="56" spans="1:15" ht="20">
      <c r="A56" s="38" t="s">
        <v>69</v>
      </c>
      <c r="B56" s="39" t="s">
        <v>52</v>
      </c>
      <c r="C56" s="38">
        <v>2015</v>
      </c>
      <c r="D56" s="38" t="s">
        <v>803</v>
      </c>
      <c r="E56" s="38">
        <v>19.100000000000001</v>
      </c>
      <c r="F56" s="31">
        <f t="shared" si="0"/>
        <v>0.23264311814859931</v>
      </c>
      <c r="H56" s="16" t="s">
        <v>856</v>
      </c>
      <c r="I56" s="17">
        <v>7353</v>
      </c>
      <c r="J56" s="80">
        <f>Table45[[#This Row],[TRUMP VOTES]]/C113</f>
        <v>0.35198659645763525</v>
      </c>
      <c r="K56" s="18">
        <v>0.85599999999999998</v>
      </c>
      <c r="L56" s="17">
        <v>1157</v>
      </c>
      <c r="M56" s="80">
        <f>Table45[[#This Row],[BIDEN VOTES]]/C113</f>
        <v>5.5385351842987075E-2</v>
      </c>
      <c r="N56" s="18">
        <v>0.13500000000000001</v>
      </c>
      <c r="O56" s="82">
        <f>1-(Table45[[#This Row],[NbP]]+Table45[[#This Row],[NbP2]])</f>
        <v>0.5926280516993776</v>
      </c>
    </row>
    <row r="58" spans="1:15" ht="21">
      <c r="A58" s="77" t="s">
        <v>1670</v>
      </c>
      <c r="B58" s="77" t="s">
        <v>69</v>
      </c>
      <c r="C58" s="77" t="s">
        <v>54</v>
      </c>
    </row>
    <row r="59" spans="1:15" ht="21">
      <c r="A59" s="52">
        <v>35</v>
      </c>
      <c r="B59" s="53" t="s">
        <v>825</v>
      </c>
      <c r="C59" s="54">
        <v>16543</v>
      </c>
    </row>
    <row r="60" spans="1:15" ht="21">
      <c r="A60" s="52">
        <v>2</v>
      </c>
      <c r="B60" s="53" t="s">
        <v>826</v>
      </c>
      <c r="C60" s="54">
        <v>117615</v>
      </c>
    </row>
    <row r="61" spans="1:15" ht="21">
      <c r="A61" s="52">
        <v>29</v>
      </c>
      <c r="B61" s="53" t="s">
        <v>827</v>
      </c>
      <c r="C61" s="54">
        <v>21897</v>
      </c>
    </row>
    <row r="62" spans="1:15" ht="21">
      <c r="A62" s="52">
        <v>38</v>
      </c>
      <c r="B62" s="53" t="s">
        <v>828</v>
      </c>
      <c r="C62" s="54">
        <v>14032</v>
      </c>
    </row>
    <row r="63" spans="1:15" ht="21">
      <c r="A63" s="52">
        <v>28</v>
      </c>
      <c r="B63" s="53" t="s">
        <v>829</v>
      </c>
      <c r="C63" s="54">
        <v>22162</v>
      </c>
    </row>
    <row r="64" spans="1:15" ht="21">
      <c r="A64" s="52">
        <v>4</v>
      </c>
      <c r="B64" s="53" t="s">
        <v>830</v>
      </c>
      <c r="C64" s="54">
        <v>93328</v>
      </c>
    </row>
    <row r="65" spans="1:3" ht="21">
      <c r="A65" s="52">
        <v>52</v>
      </c>
      <c r="B65" s="53" t="s">
        <v>358</v>
      </c>
      <c r="C65" s="54">
        <v>7185</v>
      </c>
    </row>
    <row r="66" spans="1:3" ht="21">
      <c r="A66" s="52">
        <v>46</v>
      </c>
      <c r="B66" s="53" t="s">
        <v>183</v>
      </c>
      <c r="C66" s="54">
        <v>8599</v>
      </c>
    </row>
    <row r="67" spans="1:3" ht="21">
      <c r="A67" s="52">
        <v>47</v>
      </c>
      <c r="B67" s="53" t="s">
        <v>831</v>
      </c>
      <c r="C67" s="54">
        <v>8499</v>
      </c>
    </row>
    <row r="68" spans="1:3" ht="21">
      <c r="A68" s="52">
        <v>12</v>
      </c>
      <c r="B68" s="53" t="s">
        <v>193</v>
      </c>
      <c r="C68" s="54">
        <v>43087</v>
      </c>
    </row>
    <row r="69" spans="1:3" ht="21">
      <c r="A69" s="52">
        <v>50</v>
      </c>
      <c r="B69" s="53" t="s">
        <v>832</v>
      </c>
      <c r="C69" s="54">
        <v>7970</v>
      </c>
    </row>
    <row r="70" spans="1:3" ht="21">
      <c r="A70" s="52">
        <v>43</v>
      </c>
      <c r="B70" s="53" t="s">
        <v>278</v>
      </c>
      <c r="C70" s="54">
        <v>11565</v>
      </c>
    </row>
    <row r="71" spans="1:3" ht="21">
      <c r="A71" s="52">
        <v>15</v>
      </c>
      <c r="B71" s="53" t="s">
        <v>833</v>
      </c>
      <c r="C71" s="54">
        <v>34893</v>
      </c>
    </row>
    <row r="72" spans="1:3" ht="21">
      <c r="A72" s="52">
        <v>27</v>
      </c>
      <c r="B72" s="53" t="s">
        <v>834</v>
      </c>
      <c r="C72" s="54">
        <v>23304</v>
      </c>
    </row>
    <row r="73" spans="1:3" ht="21">
      <c r="A73" s="52">
        <v>19</v>
      </c>
      <c r="B73" s="53" t="s">
        <v>203</v>
      </c>
      <c r="C73" s="54">
        <v>29118</v>
      </c>
    </row>
    <row r="74" spans="1:3" ht="21">
      <c r="A74" s="52">
        <v>40</v>
      </c>
      <c r="B74" s="53" t="s">
        <v>835</v>
      </c>
      <c r="C74" s="54">
        <v>13789</v>
      </c>
    </row>
    <row r="75" spans="1:3" ht="21">
      <c r="A75" s="52">
        <v>7</v>
      </c>
      <c r="B75" s="53" t="s">
        <v>424</v>
      </c>
      <c r="C75" s="54">
        <v>67620</v>
      </c>
    </row>
    <row r="76" spans="1:3" ht="21">
      <c r="A76" s="52">
        <v>20</v>
      </c>
      <c r="B76" s="53" t="s">
        <v>213</v>
      </c>
      <c r="C76" s="54">
        <v>28793</v>
      </c>
    </row>
    <row r="77" spans="1:3" ht="21">
      <c r="A77" s="52">
        <v>9</v>
      </c>
      <c r="B77" s="53" t="s">
        <v>214</v>
      </c>
      <c r="C77" s="54">
        <v>56922</v>
      </c>
    </row>
    <row r="78" spans="1:3" ht="21">
      <c r="A78" s="52">
        <v>1</v>
      </c>
      <c r="B78" s="53" t="s">
        <v>836</v>
      </c>
      <c r="C78" s="54">
        <v>181014</v>
      </c>
    </row>
    <row r="79" spans="1:3" ht="21">
      <c r="A79" s="52">
        <v>36</v>
      </c>
      <c r="B79" s="53" t="s">
        <v>220</v>
      </c>
      <c r="C79" s="54">
        <v>16024</v>
      </c>
    </row>
    <row r="80" spans="1:3" ht="21">
      <c r="A80" s="52">
        <v>31</v>
      </c>
      <c r="B80" s="53" t="s">
        <v>221</v>
      </c>
      <c r="C80" s="54">
        <v>20617</v>
      </c>
    </row>
    <row r="81" spans="1:3" ht="21">
      <c r="A81" s="52">
        <v>17</v>
      </c>
      <c r="B81" s="53" t="s">
        <v>837</v>
      </c>
      <c r="C81" s="54">
        <v>32593</v>
      </c>
    </row>
    <row r="82" spans="1:3" ht="21">
      <c r="A82" s="52">
        <v>11</v>
      </c>
      <c r="B82" s="53" t="s">
        <v>227</v>
      </c>
      <c r="C82" s="54">
        <v>56233</v>
      </c>
    </row>
    <row r="83" spans="1:3" ht="21">
      <c r="A83" s="52">
        <v>18</v>
      </c>
      <c r="B83" s="53" t="s">
        <v>228</v>
      </c>
      <c r="C83" s="54">
        <v>30900</v>
      </c>
    </row>
    <row r="84" spans="1:3" ht="21">
      <c r="A84" s="52">
        <v>23</v>
      </c>
      <c r="B84" s="53" t="s">
        <v>470</v>
      </c>
      <c r="C84" s="54">
        <v>26700</v>
      </c>
    </row>
    <row r="85" spans="1:3" ht="21">
      <c r="A85" s="52">
        <v>32</v>
      </c>
      <c r="B85" s="53" t="s">
        <v>838</v>
      </c>
      <c r="C85" s="54">
        <v>18083</v>
      </c>
    </row>
    <row r="86" spans="1:3" ht="21">
      <c r="A86" s="52">
        <v>8</v>
      </c>
      <c r="B86" s="53" t="s">
        <v>794</v>
      </c>
      <c r="C86" s="54">
        <v>59370</v>
      </c>
    </row>
    <row r="87" spans="1:3" ht="21">
      <c r="A87" s="52">
        <v>22</v>
      </c>
      <c r="B87" s="53" t="s">
        <v>839</v>
      </c>
      <c r="C87" s="54">
        <v>27047</v>
      </c>
    </row>
    <row r="88" spans="1:3" ht="21">
      <c r="A88" s="52">
        <v>26</v>
      </c>
      <c r="B88" s="53" t="s">
        <v>840</v>
      </c>
      <c r="C88" s="54">
        <v>23808</v>
      </c>
    </row>
    <row r="89" spans="1:3" ht="21">
      <c r="A89" s="52">
        <v>3</v>
      </c>
      <c r="B89" s="53" t="s">
        <v>841</v>
      </c>
      <c r="C89" s="54">
        <v>106196</v>
      </c>
    </row>
    <row r="90" spans="1:3" ht="21">
      <c r="A90" s="52">
        <v>41</v>
      </c>
      <c r="B90" s="53" t="s">
        <v>231</v>
      </c>
      <c r="C90" s="54">
        <v>13344</v>
      </c>
    </row>
    <row r="91" spans="1:3" ht="21">
      <c r="A91" s="52">
        <v>33</v>
      </c>
      <c r="B91" s="53" t="s">
        <v>234</v>
      </c>
      <c r="C91" s="54">
        <v>17800</v>
      </c>
    </row>
    <row r="92" spans="1:3" ht="21">
      <c r="A92" s="52">
        <v>24</v>
      </c>
      <c r="B92" s="53" t="s">
        <v>842</v>
      </c>
      <c r="C92" s="54">
        <v>24857</v>
      </c>
    </row>
    <row r="93" spans="1:3" ht="21">
      <c r="A93" s="52">
        <v>13</v>
      </c>
      <c r="B93" s="53" t="s">
        <v>843</v>
      </c>
      <c r="C93" s="54">
        <v>41875</v>
      </c>
    </row>
    <row r="94" spans="1:3" ht="21">
      <c r="A94" s="52">
        <v>53</v>
      </c>
      <c r="B94" s="53" t="s">
        <v>844</v>
      </c>
      <c r="C94" s="54">
        <v>6968</v>
      </c>
    </row>
    <row r="95" spans="1:3" ht="21">
      <c r="A95" s="52">
        <v>51</v>
      </c>
      <c r="B95" s="53" t="s">
        <v>845</v>
      </c>
      <c r="C95" s="54">
        <v>7457</v>
      </c>
    </row>
    <row r="96" spans="1:3" ht="21">
      <c r="A96" s="52">
        <v>48</v>
      </c>
      <c r="B96" s="53" t="s">
        <v>846</v>
      </c>
      <c r="C96" s="54">
        <v>8382</v>
      </c>
    </row>
    <row r="97" spans="1:3" ht="21">
      <c r="A97" s="52">
        <v>16</v>
      </c>
      <c r="B97" s="53" t="s">
        <v>847</v>
      </c>
      <c r="C97" s="54">
        <v>33610</v>
      </c>
    </row>
    <row r="98" spans="1:3" ht="21">
      <c r="A98" s="52">
        <v>10</v>
      </c>
      <c r="B98" s="53" t="s">
        <v>240</v>
      </c>
      <c r="C98" s="54">
        <v>56604</v>
      </c>
    </row>
    <row r="99" spans="1:3" ht="21">
      <c r="A99" s="52">
        <v>6</v>
      </c>
      <c r="B99" s="53" t="s">
        <v>848</v>
      </c>
      <c r="C99" s="54">
        <v>74452</v>
      </c>
    </row>
    <row r="100" spans="1:3" ht="21">
      <c r="A100" s="52">
        <v>21</v>
      </c>
      <c r="B100" s="53" t="s">
        <v>849</v>
      </c>
      <c r="C100" s="54">
        <v>28763</v>
      </c>
    </row>
    <row r="101" spans="1:3" ht="21">
      <c r="A101" s="52">
        <v>44</v>
      </c>
      <c r="B101" s="53" t="s">
        <v>850</v>
      </c>
      <c r="C101" s="54">
        <v>9747</v>
      </c>
    </row>
    <row r="102" spans="1:3" ht="21">
      <c r="A102" s="52">
        <v>39</v>
      </c>
      <c r="B102" s="53" t="s">
        <v>242</v>
      </c>
      <c r="C102" s="54">
        <v>13831</v>
      </c>
    </row>
    <row r="103" spans="1:3" ht="21">
      <c r="A103" s="52">
        <v>42</v>
      </c>
      <c r="B103" s="53" t="s">
        <v>851</v>
      </c>
      <c r="C103" s="54">
        <v>12710</v>
      </c>
    </row>
    <row r="104" spans="1:3" ht="21">
      <c r="A104" s="52">
        <v>34</v>
      </c>
      <c r="B104" s="53" t="s">
        <v>526</v>
      </c>
      <c r="C104" s="54">
        <v>16817</v>
      </c>
    </row>
    <row r="105" spans="1:3" ht="21">
      <c r="A105" s="52">
        <v>54</v>
      </c>
      <c r="B105" s="53" t="s">
        <v>852</v>
      </c>
      <c r="C105" s="54">
        <v>6943</v>
      </c>
    </row>
    <row r="106" spans="1:3" ht="21">
      <c r="A106" s="52">
        <v>45</v>
      </c>
      <c r="B106" s="53" t="s">
        <v>534</v>
      </c>
      <c r="C106" s="54">
        <v>8736</v>
      </c>
    </row>
    <row r="107" spans="1:3" ht="21">
      <c r="A107" s="52">
        <v>25</v>
      </c>
      <c r="B107" s="53" t="s">
        <v>535</v>
      </c>
      <c r="C107" s="54">
        <v>24451</v>
      </c>
    </row>
    <row r="108" spans="1:3" ht="21">
      <c r="A108" s="52">
        <v>14</v>
      </c>
      <c r="B108" s="53" t="s">
        <v>259</v>
      </c>
      <c r="C108" s="54">
        <v>39952</v>
      </c>
    </row>
    <row r="109" spans="1:3" ht="21">
      <c r="A109" s="52">
        <v>49</v>
      </c>
      <c r="B109" s="53" t="s">
        <v>853</v>
      </c>
      <c r="C109" s="54">
        <v>8289</v>
      </c>
    </row>
    <row r="110" spans="1:3" ht="21">
      <c r="A110" s="52">
        <v>37</v>
      </c>
      <c r="B110" s="53" t="s">
        <v>854</v>
      </c>
      <c r="C110" s="54">
        <v>15291</v>
      </c>
    </row>
    <row r="111" spans="1:3" ht="21">
      <c r="A111" s="52">
        <v>55</v>
      </c>
      <c r="B111" s="53" t="s">
        <v>855</v>
      </c>
      <c r="C111" s="54">
        <v>5764</v>
      </c>
    </row>
    <row r="112" spans="1:3" ht="21">
      <c r="A112" s="52">
        <v>5</v>
      </c>
      <c r="B112" s="53" t="s">
        <v>551</v>
      </c>
      <c r="C112" s="54">
        <v>84387</v>
      </c>
    </row>
    <row r="113" spans="1:3" ht="21">
      <c r="A113" s="52">
        <v>30</v>
      </c>
      <c r="B113" s="53" t="s">
        <v>856</v>
      </c>
      <c r="C113" s="54">
        <v>20890</v>
      </c>
    </row>
  </sheetData>
  <phoneticPr fontId="22" type="noConversion"/>
  <hyperlinks>
    <hyperlink ref="B78" r:id="rId1" display="https://www.westvirginia-demographics.com/kanawha-county-demographics" xr:uid="{1CB33024-B275-3B4A-BF2B-17CE1A136516}"/>
    <hyperlink ref="B60" r:id="rId2" display="https://www.westvirginia-demographics.com/berkeley-county-demographics" xr:uid="{44ABCC6C-A97E-8F48-95BC-DB2A8E542B4C}"/>
    <hyperlink ref="B89" r:id="rId3" display="https://www.westvirginia-demographics.com/monongalia-county-demographics" xr:uid="{96134461-DF44-0B40-B5EC-9B952B3BA615}"/>
    <hyperlink ref="B64" r:id="rId4" display="https://www.westvirginia-demographics.com/cabell-county-demographics" xr:uid="{8557EF40-EE05-4F4B-9136-B96524FFF899}"/>
    <hyperlink ref="B112" r:id="rId5" display="https://www.westvirginia-demographics.com/wood-county-demographics" xr:uid="{7D3FB488-8864-BC41-A526-F3CF8015C28C}"/>
    <hyperlink ref="B99" r:id="rId6" display="https://www.westvirginia-demographics.com/raleigh-county-demographics" xr:uid="{3733504F-F882-5149-8832-D4DB667960C5}"/>
    <hyperlink ref="B75" r:id="rId7" display="https://www.westvirginia-demographics.com/harrison-county-demographics" xr:uid="{EA7F6F37-2E02-3F4B-8DA3-1D7EA19AD7B0}"/>
    <hyperlink ref="B86" r:id="rId8" display="https://www.westvirginia-demographics.com/mercer-county-demographics" xr:uid="{B00B9221-8E62-D048-9ED4-9A05085C88AC}"/>
    <hyperlink ref="B77" r:id="rId9" display="https://www.westvirginia-demographics.com/jefferson-county-demographics" xr:uid="{CE0493C1-7F4D-2C4C-83A2-28BE5E0821F9}"/>
    <hyperlink ref="B98" r:id="rId10" display="https://www.westvirginia-demographics.com/putnam-county-demographics" xr:uid="{A3065F46-ADED-F040-92D6-3AEAA4625A67}"/>
    <hyperlink ref="B82" r:id="rId11" display="https://www.westvirginia-demographics.com/marion-county-demographics" xr:uid="{C1645EF1-C746-5C42-8FB7-6A30C771A3C6}"/>
    <hyperlink ref="B68" r:id="rId12" display="https://www.westvirginia-demographics.com/fayette-county-demographics" xr:uid="{C7B9D6E6-7A9D-494C-A79C-C96179C9C205}"/>
    <hyperlink ref="B93" r:id="rId13" display="https://www.westvirginia-demographics.com/ohio-county-demographics" xr:uid="{C9D60E7E-22E4-1A40-8B24-5B855D2B0300}"/>
    <hyperlink ref="B108" r:id="rId14" display="https://www.westvirginia-demographics.com/wayne-county-demographics" xr:uid="{D2F49191-B304-D142-B25E-CC989A97FC18}"/>
    <hyperlink ref="B71" r:id="rId15" display="https://www.westvirginia-demographics.com/greenbrier-county-demographics" xr:uid="{AEB10B27-6F87-A34D-BF76-0E61B0F8AF17}"/>
    <hyperlink ref="B97" r:id="rId16" display="https://www.westvirginia-demographics.com/preston-county-demographics" xr:uid="{C423643C-32E5-8D44-BD4B-78E773845C9E}"/>
    <hyperlink ref="B81" r:id="rId17" display="https://www.westvirginia-demographics.com/logan-county-demographics" xr:uid="{DCD78D73-6006-8E45-89A5-BBC0D0ADCC43}"/>
    <hyperlink ref="B83" r:id="rId18" display="https://www.westvirginia-demographics.com/marshall-county-demographics" xr:uid="{F7162DC8-2F37-6C41-931C-1597EB65B739}"/>
    <hyperlink ref="B73" r:id="rId19" display="https://www.westvirginia-demographics.com/hancock-county-demographics" xr:uid="{B48AE54D-353E-0449-900F-9CE36F61C13D}"/>
    <hyperlink ref="B76" r:id="rId20" display="https://www.westvirginia-demographics.com/jackson-county-demographics" xr:uid="{A9300868-523C-474E-888D-F45798FE1EEB}"/>
    <hyperlink ref="B100" r:id="rId21" display="https://www.westvirginia-demographics.com/randolph-county-demographics" xr:uid="{58974DB4-3D61-2447-A2BA-B72E3BCEC50F}"/>
    <hyperlink ref="B87" r:id="rId22" display="https://www.westvirginia-demographics.com/mineral-county-demographics" xr:uid="{04E87426-47CB-D243-B667-6893298BF999}"/>
    <hyperlink ref="B84" r:id="rId23" display="https://www.westvirginia-demographics.com/mason-county-demographics" xr:uid="{587A79AE-18A1-D14D-9D50-437558BBECCA}"/>
    <hyperlink ref="B92" r:id="rId24" display="https://www.westvirginia-demographics.com/nicholas-county-demographics" xr:uid="{983462C7-1B42-7447-B47C-DAD850921371}"/>
    <hyperlink ref="B107" r:id="rId25" display="https://www.westvirginia-demographics.com/upshur-county-demographics" xr:uid="{6F12B084-1A2E-9847-8637-72FA933996F3}"/>
    <hyperlink ref="B88" r:id="rId26" display="https://www.westvirginia-demographics.com/mingo-county-demographics" xr:uid="{0D23168C-BB2C-2F48-ABE8-9223658B48B3}"/>
    <hyperlink ref="B72" r:id="rId27" display="https://www.westvirginia-demographics.com/hampshire-county-demographics" xr:uid="{D9EF33CA-CAC9-D54C-A183-D0CE4E54614F}"/>
    <hyperlink ref="B63" r:id="rId28" display="https://www.westvirginia-demographics.com/brooke-county-demographics" xr:uid="{771C9044-8F60-0041-8B20-E3FD715EE4B1}"/>
    <hyperlink ref="B61" r:id="rId29" display="https://www.westvirginia-demographics.com/boone-county-demographics" xr:uid="{24F5503B-EDB5-CB4D-926A-8A51D97721A9}"/>
    <hyperlink ref="B113" r:id="rId30" display="https://www.westvirginia-demographics.com/wyoming-county-demographics" xr:uid="{F293F7AC-7BEE-7545-94DC-A1F436BEE1A3}"/>
    <hyperlink ref="B80" r:id="rId31" display="https://www.westvirginia-demographics.com/lincoln-county-demographics" xr:uid="{D32CB2E3-DB72-9249-BA41-5D8A1F2DA567}"/>
    <hyperlink ref="B85" r:id="rId32" display="https://www.westvirginia-demographics.com/mcdowell-county-demographics" xr:uid="{A1B63C30-E775-7F41-9C8C-C9C2AAA84CB2}"/>
    <hyperlink ref="B91" r:id="rId33" display="https://www.westvirginia-demographics.com/morgan-county-demographics" xr:uid="{C549650D-E990-3943-8576-57944E5E71A5}"/>
    <hyperlink ref="B104" r:id="rId34" display="https://www.westvirginia-demographics.com/taylor-county-demographics" xr:uid="{3584E5F5-2CAF-0545-B804-61BA3708EE50}"/>
    <hyperlink ref="B59" r:id="rId35" display="https://www.westvirginia-demographics.com/barbour-county-demographics" xr:uid="{678685A0-732E-6D4F-A72C-0A253072BBD6}"/>
    <hyperlink ref="B79" r:id="rId36" display="https://www.westvirginia-demographics.com/lewis-county-demographics" xr:uid="{28D35E79-05E7-8447-BBA1-0218E63B8344}"/>
    <hyperlink ref="B110" r:id="rId37" display="https://www.westvirginia-demographics.com/wetzel-county-demographics" xr:uid="{D92DBC69-380E-F14D-954A-DF1D00C541D7}"/>
    <hyperlink ref="B62" r:id="rId38" display="https://www.westvirginia-demographics.com/braxton-county-demographics" xr:uid="{0B69399C-794C-394C-9B5D-EFF8DC10E8A6}"/>
    <hyperlink ref="B102" r:id="rId39" display="https://www.westvirginia-demographics.com/roane-county-demographics" xr:uid="{C6022A6A-408B-5546-9FA4-27F84F1E6B4A}"/>
    <hyperlink ref="B74" r:id="rId40" display="https://www.westvirginia-demographics.com/hardy-county-demographics" xr:uid="{3F513556-D3F2-DA48-981E-28FC8FD2B841}"/>
    <hyperlink ref="B90" r:id="rId41" display="https://www.westvirginia-demographics.com/monroe-county-demographics" xr:uid="{51EA2837-E94A-B343-B626-792AED7F7E66}"/>
    <hyperlink ref="B103" r:id="rId42" display="https://www.westvirginia-demographics.com/summers-county-demographics" xr:uid="{B467DF1D-D12E-D843-94BD-AAC1F5EFBA22}"/>
    <hyperlink ref="B70" r:id="rId43" display="https://www.westvirginia-demographics.com/grant-county-demographics" xr:uid="{C3E59575-7ADB-1B48-8A22-FC51A72523F6}"/>
    <hyperlink ref="B101" r:id="rId44" display="https://www.westvirginia-demographics.com/ritchie-county-demographics" xr:uid="{21F860B3-A296-8F4F-B8B7-DD47A235E964}"/>
    <hyperlink ref="B106" r:id="rId45" display="https://www.westvirginia-demographics.com/tyler-county-demographics" xr:uid="{AAD2FBA8-1F06-554F-9320-7175BD700C17}"/>
    <hyperlink ref="B66" r:id="rId46" display="https://www.westvirginia-demographics.com/clay-county-demographics" xr:uid="{DDA49D06-F87D-0A48-95F1-3FD7EC67A084}"/>
    <hyperlink ref="B67" r:id="rId47" display="https://www.westvirginia-demographics.com/doddridge-county-demographics" xr:uid="{A937BCA6-212C-DE4C-94F7-18A01C5387DB}"/>
    <hyperlink ref="B96" r:id="rId48" display="https://www.westvirginia-demographics.com/pocahontas-county-demographics" xr:uid="{9BD07036-672B-F54E-808B-1435293BD14A}"/>
    <hyperlink ref="B109" r:id="rId49" display="https://www.westvirginia-demographics.com/webster-county-demographics" xr:uid="{4760FF55-909E-7244-B3CA-2166FE3D8594}"/>
    <hyperlink ref="B69" r:id="rId50" display="https://www.westvirginia-demographics.com/gilmer-county-demographics" xr:uid="{6AF889AA-16DF-644D-88A3-CD6A82D0C705}"/>
    <hyperlink ref="B95" r:id="rId51" display="https://www.westvirginia-demographics.com/pleasants-county-demographics" xr:uid="{24C89D16-53CC-3A41-AD7B-3888C23EA972}"/>
    <hyperlink ref="B65" r:id="rId52" display="https://www.westvirginia-demographics.com/calhoun-county-demographics" xr:uid="{009BFE16-11C0-E849-805F-81A5DF1E3686}"/>
    <hyperlink ref="B94" r:id="rId53" display="https://www.westvirginia-demographics.com/pendleton-county-demographics" xr:uid="{D6925044-FAEA-B24A-867B-7B85474D5D0E}"/>
    <hyperlink ref="B105" r:id="rId54" display="https://www.westvirginia-demographics.com/tucker-county-demographics" xr:uid="{87BE7A0F-ED4F-7F49-B0B8-EDB93FD578CC}"/>
    <hyperlink ref="B111" r:id="rId55" display="https://www.westvirginia-demographics.com/wirt-county-demographics" xr:uid="{EA28B61B-69EE-A549-998C-1B156EA5E988}"/>
  </hyperlinks>
  <pageMargins left="0.7" right="0.7" top="0.75" bottom="0.75" header="0.3" footer="0.3"/>
  <tableParts count="2">
    <tablePart r:id="rId56"/>
    <tablePart r:id="rId5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F725-647B-AC4B-9631-A6558590F91E}">
  <dimension ref="A1:R169"/>
  <sheetViews>
    <sheetView topLeftCell="C1" workbookViewId="0">
      <selection activeCell="Q2" sqref="Q2:Q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7" max="7" width="12.1640625" customWidth="1"/>
    <col min="8" max="8" width="17.33203125" customWidth="1"/>
    <col min="9" max="9" width="17.33203125" style="1" customWidth="1"/>
    <col min="10" max="10" width="14.5" customWidth="1"/>
    <col min="11" max="11" width="18.33203125" customWidth="1"/>
    <col min="12" max="12" width="18.33203125" style="1" customWidth="1"/>
    <col min="13" max="13" width="15.5" customWidth="1"/>
  </cols>
  <sheetData>
    <row r="1" spans="1:18" ht="21">
      <c r="A1" s="93" t="s">
        <v>64</v>
      </c>
      <c r="B1" s="93" t="s">
        <v>1674</v>
      </c>
      <c r="C1" s="93" t="s">
        <v>1746</v>
      </c>
      <c r="D1" s="93" t="s">
        <v>1677</v>
      </c>
      <c r="G1" s="15" t="s">
        <v>165</v>
      </c>
      <c r="H1" s="15" t="s">
        <v>168</v>
      </c>
      <c r="I1" s="15" t="s">
        <v>1677</v>
      </c>
      <c r="J1" s="15" t="s">
        <v>169</v>
      </c>
      <c r="K1" s="15" t="s">
        <v>166</v>
      </c>
      <c r="L1" s="15" t="s">
        <v>1687</v>
      </c>
      <c r="M1" s="15" t="s">
        <v>167</v>
      </c>
      <c r="N1" s="15" t="s">
        <v>62</v>
      </c>
      <c r="Q1" t="s">
        <v>267</v>
      </c>
      <c r="R1" t="s">
        <v>328</v>
      </c>
    </row>
    <row r="2" spans="1:18" ht="20">
      <c r="A2" s="78" t="s">
        <v>1749</v>
      </c>
      <c r="B2" s="78" t="s">
        <v>297</v>
      </c>
      <c r="C2" s="78">
        <v>29</v>
      </c>
      <c r="D2" s="78">
        <f>Table52[[#This Row],[2021]]/C87</f>
        <v>2.7895344363216622E-3</v>
      </c>
      <c r="G2" s="16" t="s">
        <v>1814</v>
      </c>
      <c r="H2" s="17">
        <v>2142</v>
      </c>
      <c r="I2" s="80">
        <f>Table53[[#This Row],[BIDEN VOTES]]/C87</f>
        <v>0.20604078491727587</v>
      </c>
      <c r="J2" s="18">
        <v>0.30299999999999999</v>
      </c>
      <c r="K2" s="17">
        <v>4848</v>
      </c>
      <c r="L2" s="80">
        <f>Table53[[#This Row],[TRUMP VOTES]]/C87</f>
        <v>0.46633320507887649</v>
      </c>
      <c r="M2" s="18">
        <v>0.68600000000000005</v>
      </c>
      <c r="N2" s="80">
        <f>1-(Table53[[#This Row],[NbP]]+Table53[[#This Row],[NbP2]])</f>
        <v>0.32762601000384761</v>
      </c>
      <c r="P2" t="s">
        <v>1672</v>
      </c>
      <c r="Q2">
        <f>CORREL(D:D,I:I)</f>
        <v>-0.2314462484247965</v>
      </c>
      <c r="R2">
        <v>0.05</v>
      </c>
    </row>
    <row r="3" spans="1:18" ht="20">
      <c r="A3" s="78" t="s">
        <v>1750</v>
      </c>
      <c r="B3" s="78" t="s">
        <v>297</v>
      </c>
      <c r="C3" s="78">
        <v>15</v>
      </c>
      <c r="D3" s="78">
        <f>Table52[[#This Row],[2021]]/C88</f>
        <v>1.6487140030775995E-3</v>
      </c>
      <c r="G3" s="16" t="s">
        <v>1815</v>
      </c>
      <c r="H3" s="17">
        <v>2053</v>
      </c>
      <c r="I3" s="80">
        <f>Table53[[#This Row],[BIDEN VOTES]]/C88</f>
        <v>0.22565398988788746</v>
      </c>
      <c r="J3" s="18">
        <v>0.4</v>
      </c>
      <c r="K3" s="17">
        <v>3014</v>
      </c>
      <c r="L3" s="80">
        <f>Table53[[#This Row],[TRUMP VOTES]]/C88</f>
        <v>0.33128160035172566</v>
      </c>
      <c r="M3" s="18">
        <v>0.58799999999999997</v>
      </c>
      <c r="N3" s="80">
        <f>1-(Table53[[#This Row],[NbP]]+Table53[[#This Row],[NbP2]])</f>
        <v>0.44306440976038686</v>
      </c>
      <c r="P3" t="s">
        <v>1671</v>
      </c>
      <c r="Q3" s="37">
        <f>CORREL(D:D,L:L)</f>
        <v>0.13587903788118144</v>
      </c>
      <c r="R3" s="1">
        <v>0.01</v>
      </c>
    </row>
    <row r="4" spans="1:18" ht="20">
      <c r="A4" s="78" t="s">
        <v>1751</v>
      </c>
      <c r="B4" s="78" t="s">
        <v>297</v>
      </c>
      <c r="C4" s="78">
        <v>453</v>
      </c>
      <c r="D4" s="78">
        <f>Table52[[#This Row],[2021]]/C89</f>
        <v>3.868356332832354E-3</v>
      </c>
      <c r="G4" s="16" t="s">
        <v>1816</v>
      </c>
      <c r="H4" s="17">
        <v>24449</v>
      </c>
      <c r="I4" s="80">
        <f>Table53[[#This Row],[BIDEN VOTES]]/C89</f>
        <v>0.20878022953955458</v>
      </c>
      <c r="J4" s="18">
        <v>0.36399999999999999</v>
      </c>
      <c r="K4" s="17">
        <v>41392</v>
      </c>
      <c r="L4" s="80">
        <f>Table53[[#This Row],[TRUMP VOTES]]/C89</f>
        <v>0.35346358792184723</v>
      </c>
      <c r="M4" s="18">
        <v>0.61699999999999999</v>
      </c>
      <c r="N4" s="80">
        <f>1-(Table53[[#This Row],[NbP]]+Table53[[#This Row],[NbP2]])</f>
        <v>0.43775618253859816</v>
      </c>
      <c r="P4" t="s">
        <v>1679</v>
      </c>
      <c r="Q4" s="37">
        <f>CORREL(D:D,N:N)</f>
        <v>8.1130619489883635E-2</v>
      </c>
      <c r="R4" s="1">
        <v>0.01</v>
      </c>
    </row>
    <row r="5" spans="1:18" ht="20">
      <c r="A5" s="78" t="s">
        <v>1752</v>
      </c>
      <c r="B5" s="78" t="s">
        <v>297</v>
      </c>
      <c r="C5" s="78">
        <v>90</v>
      </c>
      <c r="D5" s="78">
        <f>Table52[[#This Row],[2021]]/C90</f>
        <v>3.1655587211142765E-3</v>
      </c>
      <c r="G5" s="16" t="s">
        <v>1817</v>
      </c>
      <c r="H5" s="17">
        <v>6000</v>
      </c>
      <c r="I5" s="80">
        <f>Table53[[#This Row],[BIDEN VOTES]]/C90</f>
        <v>0.21103724807428512</v>
      </c>
      <c r="J5" s="18">
        <v>0.35399999999999998</v>
      </c>
      <c r="K5" s="17">
        <v>10686</v>
      </c>
      <c r="L5" s="80">
        <f>Table53[[#This Row],[TRUMP VOTES]]/C90</f>
        <v>0.37585733882030176</v>
      </c>
      <c r="M5" s="18">
        <v>0.63</v>
      </c>
      <c r="N5" s="80">
        <f>1-(Table53[[#This Row],[NbP]]+Table53[[#This Row],[NbP2]])</f>
        <v>0.41310541310541316</v>
      </c>
    </row>
    <row r="6" spans="1:18" ht="20">
      <c r="A6" s="78" t="s">
        <v>1753</v>
      </c>
      <c r="B6" s="78" t="s">
        <v>297</v>
      </c>
      <c r="C6" s="78">
        <v>50</v>
      </c>
      <c r="D6" s="78">
        <f>Table52[[#This Row],[2021]]/C91</f>
        <v>2.1458306510450196E-3</v>
      </c>
      <c r="G6" s="16" t="s">
        <v>1818</v>
      </c>
      <c r="H6" s="17">
        <v>5960</v>
      </c>
      <c r="I6" s="80">
        <f>Table53[[#This Row],[BIDEN VOTES]]/C91</f>
        <v>0.25578301360456634</v>
      </c>
      <c r="J6" s="18">
        <v>0.374</v>
      </c>
      <c r="K6" s="17">
        <v>9748</v>
      </c>
      <c r="L6" s="80">
        <f>Table53[[#This Row],[TRUMP VOTES]]/C91</f>
        <v>0.41835114372773702</v>
      </c>
      <c r="M6" s="18">
        <v>0.61099999999999999</v>
      </c>
      <c r="N6" s="80">
        <f>1-(Table53[[#This Row],[NbP]]+Table53[[#This Row],[NbP2]])</f>
        <v>0.32586584266769658</v>
      </c>
    </row>
    <row r="7" spans="1:18" ht="20">
      <c r="A7" s="78" t="s">
        <v>1754</v>
      </c>
      <c r="B7" s="78" t="s">
        <v>297</v>
      </c>
      <c r="C7" s="78">
        <v>36</v>
      </c>
      <c r="D7" s="78">
        <f>Table52[[#This Row],[2021]]/C92</f>
        <v>2.3979218011057086E-3</v>
      </c>
      <c r="G7" s="16" t="s">
        <v>1819</v>
      </c>
      <c r="H7" s="17">
        <v>2774</v>
      </c>
      <c r="I7" s="80">
        <f>Table53[[#This Row],[BIDEN VOTES]]/C92</f>
        <v>0.18477319656297875</v>
      </c>
      <c r="J7" s="18">
        <v>0.314</v>
      </c>
      <c r="K7" s="17">
        <v>5928</v>
      </c>
      <c r="L7" s="80">
        <f>Table53[[#This Row],[TRUMP VOTES]]/C92</f>
        <v>0.39485778991540665</v>
      </c>
      <c r="M7" s="18">
        <v>0.67100000000000004</v>
      </c>
      <c r="N7" s="80">
        <f>1-(Table53[[#This Row],[NbP]]+Table53[[#This Row],[NbP2]])</f>
        <v>0.4203690135216146</v>
      </c>
    </row>
    <row r="8" spans="1:18" ht="20">
      <c r="A8" s="78" t="s">
        <v>1755</v>
      </c>
      <c r="B8" s="78" t="s">
        <v>297</v>
      </c>
      <c r="C8" s="78">
        <v>14</v>
      </c>
      <c r="D8" s="78">
        <f>Table52[[#This Row],[2021]]/C93</f>
        <v>1.6792611251049538E-3</v>
      </c>
      <c r="G8" s="16" t="s">
        <v>1820</v>
      </c>
      <c r="H8" s="17">
        <v>1478</v>
      </c>
      <c r="I8" s="80">
        <f>Table53[[#This Row],[BIDEN VOTES]]/C93</f>
        <v>0.17728199592179442</v>
      </c>
      <c r="J8" s="18">
        <v>0.36599999999999999</v>
      </c>
      <c r="K8" s="17">
        <v>2512</v>
      </c>
      <c r="L8" s="80">
        <f>Table53[[#This Row],[TRUMP VOTES]]/C93</f>
        <v>0.30130742473311745</v>
      </c>
      <c r="M8" s="18">
        <v>0.622</v>
      </c>
      <c r="N8" s="80">
        <f>1-(Table53[[#This Row],[NbP]]+Table53[[#This Row],[NbP2]])</f>
        <v>0.52141057934508817</v>
      </c>
    </row>
    <row r="9" spans="1:18" ht="20">
      <c r="A9" s="78" t="s">
        <v>1756</v>
      </c>
      <c r="B9" s="78" t="s">
        <v>297</v>
      </c>
      <c r="C9" s="78">
        <v>148</v>
      </c>
      <c r="D9" s="78">
        <f>Table52[[#This Row],[2021]]/C94</f>
        <v>2.4244409861577526E-3</v>
      </c>
      <c r="G9" s="16" t="s">
        <v>1821</v>
      </c>
      <c r="H9" s="17">
        <v>11797</v>
      </c>
      <c r="I9" s="80">
        <f>Table53[[#This Row],[BIDEN VOTES]]/C94</f>
        <v>0.19325088049799327</v>
      </c>
      <c r="J9" s="18">
        <v>0.32900000000000001</v>
      </c>
      <c r="K9" s="17">
        <v>23471</v>
      </c>
      <c r="L9" s="80">
        <f>Table53[[#This Row],[TRUMP VOTES]]/C94</f>
        <v>0.38448685396019328</v>
      </c>
      <c r="M9" s="18">
        <v>0.65400000000000003</v>
      </c>
      <c r="N9" s="80">
        <f>1-(Table53[[#This Row],[NbP]]+Table53[[#This Row],[NbP2]])</f>
        <v>0.42226226554181345</v>
      </c>
    </row>
    <row r="10" spans="1:18" ht="20">
      <c r="A10" s="78" t="s">
        <v>1757</v>
      </c>
      <c r="B10" s="78" t="s">
        <v>297</v>
      </c>
      <c r="C10" s="78">
        <v>228</v>
      </c>
      <c r="D10" s="78">
        <f>Table52[[#This Row],[2021]]/C95</f>
        <v>2.2027708538635443E-3</v>
      </c>
      <c r="G10" s="16" t="s">
        <v>1822</v>
      </c>
      <c r="H10" s="17">
        <v>26151</v>
      </c>
      <c r="I10" s="80">
        <f>Table53[[#This Row],[BIDEN VOTES]]/C95</f>
        <v>0.25265202017274363</v>
      </c>
      <c r="J10" s="18">
        <v>0.434</v>
      </c>
      <c r="K10" s="17">
        <v>33125</v>
      </c>
      <c r="L10" s="80">
        <f>Table53[[#This Row],[TRUMP VOTES]]/C95</f>
        <v>0.32002975672907852</v>
      </c>
      <c r="M10" s="18">
        <v>0.55000000000000004</v>
      </c>
      <c r="N10" s="80">
        <f>1-(Table53[[#This Row],[NbP]]+Table53[[#This Row],[NbP2]])</f>
        <v>0.4273182230981778</v>
      </c>
    </row>
    <row r="11" spans="1:18" ht="20">
      <c r="A11" s="78" t="s">
        <v>1758</v>
      </c>
      <c r="B11" s="78" t="s">
        <v>297</v>
      </c>
      <c r="C11" s="78">
        <v>45</v>
      </c>
      <c r="D11" s="78">
        <f>Table52[[#This Row],[2021]]/C96</f>
        <v>2.541942043721403E-3</v>
      </c>
      <c r="G11" s="16" t="s">
        <v>1823</v>
      </c>
      <c r="H11" s="17">
        <v>5480</v>
      </c>
      <c r="I11" s="80">
        <f>Table53[[#This Row],[BIDEN VOTES]]/C96</f>
        <v>0.30955205332429531</v>
      </c>
      <c r="J11" s="18">
        <v>0.44700000000000001</v>
      </c>
      <c r="K11" s="17">
        <v>6601</v>
      </c>
      <c r="L11" s="80">
        <f>Table53[[#This Row],[TRUMP VOTES]]/C96</f>
        <v>0.37287465401344405</v>
      </c>
      <c r="M11" s="18">
        <v>0.53800000000000003</v>
      </c>
      <c r="N11" s="80">
        <f>1-(Table53[[#This Row],[NbP]]+Table53[[#This Row],[NbP2]])</f>
        <v>0.31757329266226064</v>
      </c>
    </row>
    <row r="12" spans="1:18" ht="20">
      <c r="A12" s="78" t="s">
        <v>1218</v>
      </c>
      <c r="B12" s="78" t="s">
        <v>297</v>
      </c>
      <c r="C12" s="78">
        <v>463</v>
      </c>
      <c r="D12" s="78">
        <f>Table52[[#This Row],[2021]]/C97</f>
        <v>3.0104618425586976E-3</v>
      </c>
      <c r="G12" s="16" t="s">
        <v>1312</v>
      </c>
      <c r="H12" s="17">
        <v>37438</v>
      </c>
      <c r="I12" s="80">
        <f>Table53[[#This Row],[BIDEN VOTES]]/C97</f>
        <v>0.24342477421536179</v>
      </c>
      <c r="J12" s="18">
        <v>0.45400000000000001</v>
      </c>
      <c r="K12" s="17">
        <v>43519</v>
      </c>
      <c r="L12" s="80">
        <f>Table53[[#This Row],[TRUMP VOTES]]/C97</f>
        <v>0.28296390696827639</v>
      </c>
      <c r="M12" s="18">
        <v>0.52800000000000002</v>
      </c>
      <c r="N12" s="80">
        <f>1-(Table53[[#This Row],[NbP]]+Table53[[#This Row],[NbP2]])</f>
        <v>0.47361131881636176</v>
      </c>
    </row>
    <row r="13" spans="1:18" ht="20">
      <c r="A13" s="78" t="s">
        <v>1759</v>
      </c>
      <c r="B13" s="78" t="s">
        <v>297</v>
      </c>
      <c r="C13" s="78">
        <v>161</v>
      </c>
      <c r="D13" s="78">
        <f>Table52[[#This Row],[2021]]/C98</f>
        <v>3.7072856221792394E-3</v>
      </c>
      <c r="G13" s="16" t="s">
        <v>1824</v>
      </c>
      <c r="H13" s="17">
        <v>6159</v>
      </c>
      <c r="I13" s="80">
        <f>Table53[[#This Row],[BIDEN VOTES]]/C98</f>
        <v>0.14182094501243436</v>
      </c>
      <c r="J13" s="18">
        <v>0.3</v>
      </c>
      <c r="K13" s="17">
        <v>14064</v>
      </c>
      <c r="L13" s="80">
        <f>Table53[[#This Row],[TRUMP VOTES]]/C98</f>
        <v>0.32384636639955788</v>
      </c>
      <c r="M13" s="18">
        <v>0.68500000000000005</v>
      </c>
      <c r="N13" s="80">
        <f>1-(Table53[[#This Row],[NbP]]+Table53[[#This Row],[NbP2]])</f>
        <v>0.53433268858800775</v>
      </c>
    </row>
    <row r="14" spans="1:18" ht="20">
      <c r="A14" s="78" t="s">
        <v>586</v>
      </c>
      <c r="B14" s="78" t="s">
        <v>297</v>
      </c>
      <c r="C14" s="78">
        <v>508</v>
      </c>
      <c r="D14" s="78">
        <f>Table52[[#This Row],[2021]]/C99</f>
        <v>3.7926580709704873E-3</v>
      </c>
      <c r="G14" s="16" t="s">
        <v>358</v>
      </c>
      <c r="H14" s="17">
        <v>28877</v>
      </c>
      <c r="I14" s="80">
        <f>Table53[[#This Row],[BIDEN VOTES]]/C99</f>
        <v>0.21559170692010782</v>
      </c>
      <c r="J14" s="18">
        <v>0.436</v>
      </c>
      <c r="K14" s="17">
        <v>36221</v>
      </c>
      <c r="L14" s="80">
        <f>Table53[[#This Row],[TRUMP VOTES]]/C99</f>
        <v>0.27042099997760244</v>
      </c>
      <c r="M14" s="18">
        <v>0.54700000000000004</v>
      </c>
      <c r="N14" s="80">
        <f>1-(Table53[[#This Row],[NbP]]+Table53[[#This Row],[NbP2]])</f>
        <v>0.51398729310228974</v>
      </c>
    </row>
    <row r="15" spans="1:18" ht="20">
      <c r="A15" s="78" t="s">
        <v>591</v>
      </c>
      <c r="B15" s="78" t="s">
        <v>297</v>
      </c>
      <c r="C15" s="78">
        <v>114</v>
      </c>
      <c r="D15" s="78">
        <f>Table52[[#This Row],[2021]]/C100</f>
        <v>2.2087458586015152E-3</v>
      </c>
      <c r="G15" s="16" t="s">
        <v>363</v>
      </c>
      <c r="H15" s="17">
        <v>9130</v>
      </c>
      <c r="I15" s="80">
        <f>Table53[[#This Row],[BIDEN VOTES]]/C100</f>
        <v>0.17689341832484065</v>
      </c>
      <c r="J15" s="18">
        <v>0.34799999999999998</v>
      </c>
      <c r="K15" s="17">
        <v>16699</v>
      </c>
      <c r="L15" s="80">
        <f>Table53[[#This Row],[TRUMP VOTES]]/C100</f>
        <v>0.32354251835777809</v>
      </c>
      <c r="M15" s="18">
        <v>0.63700000000000001</v>
      </c>
      <c r="N15" s="80">
        <f>1-(Table53[[#This Row],[NbP]]+Table53[[#This Row],[NbP2]])</f>
        <v>0.49956406331738124</v>
      </c>
    </row>
    <row r="16" spans="1:18" ht="20">
      <c r="A16" s="78" t="s">
        <v>1760</v>
      </c>
      <c r="B16" s="78" t="s">
        <v>297</v>
      </c>
      <c r="C16" s="78">
        <v>45</v>
      </c>
      <c r="D16" s="78">
        <f>Table52[[#This Row],[2021]]/C101</f>
        <v>1.7177539412909875E-3</v>
      </c>
      <c r="G16" s="16" t="s">
        <v>1825</v>
      </c>
      <c r="H16" s="17">
        <v>6939</v>
      </c>
      <c r="I16" s="80">
        <f>Table53[[#This Row],[BIDEN VOTES]]/C101</f>
        <v>0.26487765774707028</v>
      </c>
      <c r="J16" s="18">
        <v>0.40799999999999997</v>
      </c>
      <c r="K16" s="17">
        <v>9841</v>
      </c>
      <c r="L16" s="80">
        <f>Table53[[#This Row],[TRUMP VOTES]]/C101</f>
        <v>0.37565370080543575</v>
      </c>
      <c r="M16" s="18">
        <v>0.57899999999999996</v>
      </c>
      <c r="N16" s="80">
        <f>1-(Table53[[#This Row],[NbP]]+Table53[[#This Row],[NbP2]])</f>
        <v>0.35946864144749391</v>
      </c>
    </row>
    <row r="17" spans="1:14" ht="20">
      <c r="A17" s="78" t="s">
        <v>1761</v>
      </c>
      <c r="B17" s="78" t="s">
        <v>297</v>
      </c>
      <c r="C17" s="78">
        <v>91</v>
      </c>
      <c r="D17" s="78">
        <f>Table52[[#This Row],[2021]]/C102</f>
        <v>3.577747198741891E-3</v>
      </c>
      <c r="G17" s="16" t="s">
        <v>1826</v>
      </c>
      <c r="H17" s="17">
        <v>5437</v>
      </c>
      <c r="I17" s="80">
        <f>Table53[[#This Row],[BIDEN VOTES]]/C102</f>
        <v>0.21376056614900726</v>
      </c>
      <c r="J17" s="18">
        <v>0.34300000000000003</v>
      </c>
      <c r="K17" s="17">
        <v>10186</v>
      </c>
      <c r="L17" s="80">
        <f>Table53[[#This Row],[TRUMP VOTES]]/C102</f>
        <v>0.40047179083939455</v>
      </c>
      <c r="M17" s="18">
        <v>0.64200000000000002</v>
      </c>
      <c r="N17" s="80">
        <f>1-(Table53[[#This Row],[NbP]]+Table53[[#This Row],[NbP2]])</f>
        <v>0.38576764301159816</v>
      </c>
    </row>
    <row r="18" spans="1:14" ht="20">
      <c r="A18" s="78" t="s">
        <v>1762</v>
      </c>
      <c r="B18" s="78" t="s">
        <v>297</v>
      </c>
      <c r="C18" s="78">
        <v>146</v>
      </c>
      <c r="D18" s="78">
        <f>Table52[[#This Row],[2021]]/C103</f>
        <v>3.901865412368379E-3</v>
      </c>
      <c r="G18" s="16" t="s">
        <v>1827</v>
      </c>
      <c r="H18" s="17">
        <v>6648</v>
      </c>
      <c r="I18" s="80">
        <f>Table53[[#This Row],[BIDEN VOTES]]/C103</f>
        <v>0.17766850179058208</v>
      </c>
      <c r="J18" s="18">
        <v>0.377</v>
      </c>
      <c r="K18" s="17">
        <v>10681</v>
      </c>
      <c r="L18" s="80">
        <f>Table53[[#This Row],[TRUMP VOTES]]/C103</f>
        <v>0.28545085253086749</v>
      </c>
      <c r="M18" s="18">
        <v>0.60499999999999998</v>
      </c>
      <c r="N18" s="80">
        <f>1-(Table53[[#This Row],[NbP]]+Table53[[#This Row],[NbP2]])</f>
        <v>0.53688064567855043</v>
      </c>
    </row>
    <row r="19" spans="1:14" ht="20">
      <c r="A19" s="78" t="s">
        <v>1763</v>
      </c>
      <c r="B19" s="78" t="s">
        <v>297</v>
      </c>
      <c r="C19" s="78">
        <v>109</v>
      </c>
      <c r="D19" s="78">
        <f>Table52[[#This Row],[2021]]/C104</f>
        <v>3.5557005382482465E-3</v>
      </c>
      <c r="G19" s="16" t="s">
        <v>1828</v>
      </c>
      <c r="H19" s="17">
        <v>5199</v>
      </c>
      <c r="I19" s="80">
        <f>Table53[[#This Row],[BIDEN VOTES]]/C104</f>
        <v>0.16959712934268473</v>
      </c>
      <c r="J19" s="18">
        <v>0.31900000000000001</v>
      </c>
      <c r="K19" s="17">
        <v>10861</v>
      </c>
      <c r="L19" s="80">
        <f>Table53[[#This Row],[TRUMP VOTES]]/C104</f>
        <v>0.35429783069646059</v>
      </c>
      <c r="M19" s="18">
        <v>0.66700000000000004</v>
      </c>
      <c r="N19" s="80">
        <f>1-(Table53[[#This Row],[NbP]]+Table53[[#This Row],[NbP2]])</f>
        <v>0.47610503996085463</v>
      </c>
    </row>
    <row r="20" spans="1:14" ht="20">
      <c r="A20" s="78" t="s">
        <v>1398</v>
      </c>
      <c r="B20" s="78" t="s">
        <v>297</v>
      </c>
      <c r="C20" s="78">
        <v>103</v>
      </c>
      <c r="D20" s="78">
        <f>Table52[[#This Row],[2021]]/C105</f>
        <v>1.3045075167496232E-3</v>
      </c>
      <c r="G20" s="16" t="s">
        <v>1405</v>
      </c>
      <c r="H20" s="17">
        <v>21968</v>
      </c>
      <c r="I20" s="80">
        <f>Table53[[#This Row],[BIDEN VOTES]]/C105</f>
        <v>0.27822738959180315</v>
      </c>
      <c r="J20" s="18">
        <v>0.45900000000000002</v>
      </c>
      <c r="K20" s="17">
        <v>25098</v>
      </c>
      <c r="L20" s="80">
        <f>Table53[[#This Row],[TRUMP VOTES]]/C105</f>
        <v>0.31786921995516548</v>
      </c>
      <c r="M20" s="18">
        <v>0.52400000000000002</v>
      </c>
      <c r="N20" s="80">
        <f>1-(Table53[[#This Row],[NbP]]+Table53[[#This Row],[NbP2]])</f>
        <v>0.40390339045303136</v>
      </c>
    </row>
    <row r="21" spans="1:14" ht="20">
      <c r="A21" s="78" t="s">
        <v>1237</v>
      </c>
      <c r="B21" s="78" t="s">
        <v>297</v>
      </c>
      <c r="C21" s="78">
        <v>61</v>
      </c>
      <c r="D21" s="78">
        <f>Table52[[#This Row],[2021]]/C106</f>
        <v>4.3872266973532794E-3</v>
      </c>
      <c r="G21" s="16" t="s">
        <v>1331</v>
      </c>
      <c r="H21" s="17">
        <v>2672</v>
      </c>
      <c r="I21" s="80">
        <f>Table53[[#This Row],[BIDEN VOTES]]/C106</f>
        <v>0.19217491369390102</v>
      </c>
      <c r="J21" s="18">
        <v>0.34</v>
      </c>
      <c r="K21" s="17">
        <v>5087</v>
      </c>
      <c r="L21" s="80">
        <f>Table53[[#This Row],[TRUMP VOTES]]/C106</f>
        <v>0.36586593785960875</v>
      </c>
      <c r="M21" s="18">
        <v>0.64700000000000002</v>
      </c>
      <c r="N21" s="80">
        <f>1-(Table53[[#This Row],[NbP]]+Table53[[#This Row],[NbP2]])</f>
        <v>0.4419591484464902</v>
      </c>
    </row>
    <row r="22" spans="1:14" ht="20">
      <c r="A22" s="78" t="s">
        <v>614</v>
      </c>
      <c r="B22" s="78" t="s">
        <v>297</v>
      </c>
      <c r="C22" s="78">
        <v>57</v>
      </c>
      <c r="D22" s="78">
        <f>Table52[[#This Row],[2021]]/C107</f>
        <v>1.5888944639571834E-3</v>
      </c>
      <c r="G22" s="16" t="s">
        <v>387</v>
      </c>
      <c r="H22" s="17">
        <v>7606</v>
      </c>
      <c r="I22" s="80">
        <f>Table53[[#This Row],[BIDEN VOTES]]/C107</f>
        <v>0.21201984724312872</v>
      </c>
      <c r="J22" s="18">
        <v>0.36</v>
      </c>
      <c r="K22" s="17">
        <v>13207</v>
      </c>
      <c r="L22" s="80">
        <f>Table53[[#This Row],[TRUMP VOTES]]/C107</f>
        <v>0.36814963483302671</v>
      </c>
      <c r="M22" s="18">
        <v>0.624</v>
      </c>
      <c r="N22" s="80">
        <f>1-(Table53[[#This Row],[NbP]]+Table53[[#This Row],[NbP2]])</f>
        <v>0.41983051792384463</v>
      </c>
    </row>
    <row r="23" spans="1:14" ht="20">
      <c r="A23" s="78" t="s">
        <v>1502</v>
      </c>
      <c r="B23" s="78" t="s">
        <v>297</v>
      </c>
      <c r="C23" s="78">
        <v>46</v>
      </c>
      <c r="D23" s="78">
        <f>Table52[[#This Row],[2021]]/C108</f>
        <v>1.8129507744452764E-3</v>
      </c>
      <c r="G23" s="16" t="s">
        <v>1544</v>
      </c>
      <c r="H23" s="17">
        <v>4744</v>
      </c>
      <c r="I23" s="80">
        <f>Table53[[#This Row],[BIDEN VOTES]]/C108</f>
        <v>0.18697040160800851</v>
      </c>
      <c r="J23" s="18">
        <v>0.32500000000000001</v>
      </c>
      <c r="K23" s="17">
        <v>9617</v>
      </c>
      <c r="L23" s="80">
        <f>Table53[[#This Row],[TRUMP VOTES]]/C108</f>
        <v>0.37902494777913531</v>
      </c>
      <c r="M23" s="18">
        <v>0.65900000000000003</v>
      </c>
      <c r="N23" s="80">
        <f>1-(Table53[[#This Row],[NbP]]+Table53[[#This Row],[NbP2]])</f>
        <v>0.4340046506128562</v>
      </c>
    </row>
    <row r="24" spans="1:14" ht="20">
      <c r="A24" s="78" t="s">
        <v>1764</v>
      </c>
      <c r="B24" s="78" t="s">
        <v>297</v>
      </c>
      <c r="C24" s="78">
        <v>289</v>
      </c>
      <c r="D24" s="78">
        <f>Table52[[#This Row],[2021]]/C109</f>
        <v>2.6337373553267109E-3</v>
      </c>
      <c r="G24" s="16" t="s">
        <v>1829</v>
      </c>
      <c r="H24" s="17">
        <v>31299</v>
      </c>
      <c r="I24" s="80">
        <f>Table53[[#This Row],[BIDEN VOTES]]/C109</f>
        <v>0.28523648956529662</v>
      </c>
      <c r="J24" s="18">
        <v>0.48699999999999999</v>
      </c>
      <c r="K24" s="17">
        <v>31798</v>
      </c>
      <c r="L24" s="80">
        <f>Table53[[#This Row],[TRUMP VOTES]]/C109</f>
        <v>0.28978401531030712</v>
      </c>
      <c r="M24" s="18">
        <v>0.49399999999999999</v>
      </c>
      <c r="N24" s="80">
        <f>1-(Table53[[#This Row],[NbP]]+Table53[[#This Row],[NbP2]])</f>
        <v>0.42497949512439626</v>
      </c>
    </row>
    <row r="25" spans="1:14" ht="20">
      <c r="A25" s="78" t="s">
        <v>1504</v>
      </c>
      <c r="B25" s="78" t="s">
        <v>297</v>
      </c>
      <c r="C25" s="78">
        <v>46</v>
      </c>
      <c r="D25" s="78">
        <f>Table52[[#This Row],[2021]]/C110</f>
        <v>1.3865862848530519E-3</v>
      </c>
      <c r="G25" s="16" t="s">
        <v>1546</v>
      </c>
      <c r="H25" s="17">
        <v>9662</v>
      </c>
      <c r="I25" s="80">
        <f>Table53[[#This Row],[BIDEN VOTES]]/C110</f>
        <v>0.2912434061793519</v>
      </c>
      <c r="J25" s="18">
        <v>0.436</v>
      </c>
      <c r="K25" s="17">
        <v>12135</v>
      </c>
      <c r="L25" s="80">
        <f>Table53[[#This Row],[TRUMP VOTES]]/C110</f>
        <v>0.36578749058025622</v>
      </c>
      <c r="M25" s="18">
        <v>0.54700000000000004</v>
      </c>
      <c r="N25" s="80">
        <f>1-(Table53[[#This Row],[NbP]]+Table53[[#This Row],[NbP2]])</f>
        <v>0.34296910324039187</v>
      </c>
    </row>
    <row r="26" spans="1:14" ht="20">
      <c r="A26" s="78" t="s">
        <v>1765</v>
      </c>
      <c r="B26" s="78" t="s">
        <v>297</v>
      </c>
      <c r="C26" s="94">
        <v>1546</v>
      </c>
      <c r="D26" s="78">
        <f>Table52[[#This Row],[2021]]/C111</f>
        <v>3.8006735993313173E-3</v>
      </c>
      <c r="G26" s="16" t="s">
        <v>1830</v>
      </c>
      <c r="H26" s="17">
        <v>119390</v>
      </c>
      <c r="I26" s="80">
        <f>Table53[[#This Row],[BIDEN VOTES]]/C111</f>
        <v>0.29350738746711902</v>
      </c>
      <c r="J26" s="18">
        <v>0.53900000000000003</v>
      </c>
      <c r="K26" s="17">
        <v>98714</v>
      </c>
      <c r="L26" s="80">
        <f>Table53[[#This Row],[TRUMP VOTES]]/C111</f>
        <v>0.24267768026157288</v>
      </c>
      <c r="M26" s="18">
        <v>0.44600000000000001</v>
      </c>
      <c r="N26" s="80">
        <f>1-(Table53[[#This Row],[NbP]]+Table53[[#This Row],[NbP2]])</f>
        <v>0.4638149322713081</v>
      </c>
    </row>
    <row r="27" spans="1:14" ht="20">
      <c r="A27" s="78" t="s">
        <v>1766</v>
      </c>
      <c r="B27" s="78" t="s">
        <v>297</v>
      </c>
      <c r="C27" s="78">
        <v>112</v>
      </c>
      <c r="D27" s="78">
        <f>Table52[[#This Row],[2021]]/C112</f>
        <v>4.4247787610619468E-3</v>
      </c>
      <c r="G27" s="16" t="s">
        <v>1831</v>
      </c>
      <c r="H27" s="17">
        <v>4524</v>
      </c>
      <c r="I27" s="80">
        <f>Table53[[#This Row],[BIDEN VOTES]]/C112</f>
        <v>0.17872945638432364</v>
      </c>
      <c r="J27" s="18">
        <v>0.31</v>
      </c>
      <c r="K27" s="17">
        <v>9893</v>
      </c>
      <c r="L27" s="80">
        <f>Table53[[#This Row],[TRUMP VOTES]]/C112</f>
        <v>0.39084228824273071</v>
      </c>
      <c r="M27" s="18">
        <v>0.67700000000000005</v>
      </c>
      <c r="N27" s="80">
        <f>1-(Table53[[#This Row],[NbP]]+Table53[[#This Row],[NbP2]])</f>
        <v>0.43042825537294571</v>
      </c>
    </row>
    <row r="28" spans="1:14" ht="20">
      <c r="A28" s="78" t="s">
        <v>1767</v>
      </c>
      <c r="B28" s="78" t="s">
        <v>297</v>
      </c>
      <c r="C28" s="78">
        <v>50</v>
      </c>
      <c r="D28" s="78">
        <f>Table52[[#This Row],[2021]]/C113</f>
        <v>3.3978933061501867E-3</v>
      </c>
      <c r="G28" s="16" t="s">
        <v>1832</v>
      </c>
      <c r="H28" s="17">
        <v>3570</v>
      </c>
      <c r="I28" s="80">
        <f>Table53[[#This Row],[BIDEN VOTES]]/C113</f>
        <v>0.24260958205912334</v>
      </c>
      <c r="J28" s="18">
        <v>0.432</v>
      </c>
      <c r="K28" s="17">
        <v>4600</v>
      </c>
      <c r="L28" s="80">
        <f>Table53[[#This Row],[TRUMP VOTES]]/C113</f>
        <v>0.3126061841658172</v>
      </c>
      <c r="M28" s="18">
        <v>0.55600000000000005</v>
      </c>
      <c r="N28" s="80">
        <f>1-(Table53[[#This Row],[NbP]]+Table53[[#This Row],[NbP2]])</f>
        <v>0.44478423377505949</v>
      </c>
    </row>
    <row r="29" spans="1:14" ht="20">
      <c r="A29" s="78" t="s">
        <v>1768</v>
      </c>
      <c r="B29" s="78" t="s">
        <v>297</v>
      </c>
      <c r="C29" s="78">
        <v>271</v>
      </c>
      <c r="D29" s="78">
        <f>Table52[[#This Row],[2021]]/C114</f>
        <v>2.9253022452504318E-3</v>
      </c>
      <c r="G29" s="16" t="s">
        <v>1833</v>
      </c>
      <c r="H29" s="17">
        <v>28683</v>
      </c>
      <c r="I29" s="80">
        <f>Table53[[#This Row],[BIDEN VOTES]]/C114</f>
        <v>0.30961787564766841</v>
      </c>
      <c r="J29" s="18">
        <v>0.47599999999999998</v>
      </c>
      <c r="K29" s="17">
        <v>30502</v>
      </c>
      <c r="L29" s="80">
        <f>Table53[[#This Row],[TRUMP VOTES]]/C114</f>
        <v>0.32925302245250432</v>
      </c>
      <c r="M29" s="18">
        <v>0.50600000000000001</v>
      </c>
      <c r="N29" s="80">
        <f>1-(Table53[[#This Row],[NbP]]+Table53[[#This Row],[NbP2]])</f>
        <v>0.36112910189982728</v>
      </c>
    </row>
    <row r="30" spans="1:14" ht="20">
      <c r="A30" s="78" t="s">
        <v>1769</v>
      </c>
      <c r="B30" s="78" t="s">
        <v>297</v>
      </c>
      <c r="C30" s="78">
        <v>144</v>
      </c>
      <c r="D30" s="78">
        <f>Table52[[#This Row],[2021]]/C115</f>
        <v>3.5387791212031848E-3</v>
      </c>
      <c r="G30" s="16" t="s">
        <v>1834</v>
      </c>
      <c r="H30" s="17">
        <v>6693</v>
      </c>
      <c r="I30" s="80">
        <f>Table53[[#This Row],[BIDEN VOTES]]/C115</f>
        <v>0.16447950457092303</v>
      </c>
      <c r="J30" s="18">
        <v>0.35</v>
      </c>
      <c r="K30" s="17">
        <v>12102</v>
      </c>
      <c r="L30" s="80">
        <f>Table53[[#This Row],[TRUMP VOTES]]/C115</f>
        <v>0.29740489531111769</v>
      </c>
      <c r="M30" s="18">
        <v>0.63300000000000001</v>
      </c>
      <c r="N30" s="80">
        <f>1-(Table53[[#This Row],[NbP]]+Table53[[#This Row],[NbP2]])</f>
        <v>0.53811560011795923</v>
      </c>
    </row>
    <row r="31" spans="1:14" ht="20">
      <c r="A31" s="78" t="s">
        <v>1770</v>
      </c>
      <c r="B31" s="78" t="s">
        <v>297</v>
      </c>
      <c r="C31" s="78">
        <v>209</v>
      </c>
      <c r="D31" s="78">
        <f>Table52[[#This Row],[2021]]/C116</f>
        <v>4.5726037587240469E-3</v>
      </c>
      <c r="G31" s="16" t="s">
        <v>1835</v>
      </c>
      <c r="H31" s="17">
        <v>5883</v>
      </c>
      <c r="I31" s="80">
        <f>Table53[[#This Row],[BIDEN VOTES]]/C116</f>
        <v>0.12871113833767256</v>
      </c>
      <c r="J31" s="18">
        <v>0.253</v>
      </c>
      <c r="K31" s="17">
        <v>17037</v>
      </c>
      <c r="L31" s="80">
        <f>Table53[[#This Row],[TRUMP VOTES]]/C116</f>
        <v>0.37274378104010325</v>
      </c>
      <c r="M31" s="18">
        <v>0.73199999999999998</v>
      </c>
      <c r="N31" s="80">
        <f>1-(Table53[[#This Row],[NbP]]+Table53[[#This Row],[NbP2]])</f>
        <v>0.49854508062222425</v>
      </c>
    </row>
    <row r="32" spans="1:14" ht="20">
      <c r="A32" s="78" t="s">
        <v>1771</v>
      </c>
      <c r="B32" s="78" t="s">
        <v>297</v>
      </c>
      <c r="C32" s="78">
        <v>52</v>
      </c>
      <c r="D32" s="78">
        <f>Table52[[#This Row],[2021]]/C117</f>
        <v>1.4488715519643354E-3</v>
      </c>
      <c r="G32" s="16" t="s">
        <v>1836</v>
      </c>
      <c r="H32" s="17">
        <v>7750</v>
      </c>
      <c r="I32" s="80">
        <f>Table53[[#This Row],[BIDEN VOTES]]/C117</f>
        <v>0.21593758707160768</v>
      </c>
      <c r="J32" s="18">
        <v>0.41899999999999998</v>
      </c>
      <c r="K32" s="17">
        <v>10378</v>
      </c>
      <c r="L32" s="80">
        <f>Table53[[#This Row],[TRUMP VOTES]]/C117</f>
        <v>0.28916132627472835</v>
      </c>
      <c r="M32" s="18">
        <v>0.56100000000000005</v>
      </c>
      <c r="N32" s="80">
        <f>1-(Table53[[#This Row],[NbP]]+Table53[[#This Row],[NbP2]])</f>
        <v>0.49490108665366395</v>
      </c>
    </row>
    <row r="33" spans="1:14" ht="20">
      <c r="A33" s="78" t="s">
        <v>1772</v>
      </c>
      <c r="B33" s="78" t="s">
        <v>297</v>
      </c>
      <c r="C33" s="78">
        <v>131</v>
      </c>
      <c r="D33" s="78">
        <f>Table52[[#This Row],[2021]]/C118</f>
        <v>4.2115415528050154E-3</v>
      </c>
      <c r="G33" s="16" t="s">
        <v>1837</v>
      </c>
      <c r="H33" s="17">
        <v>5490</v>
      </c>
      <c r="I33" s="80">
        <f>Table53[[#This Row],[BIDEN VOTES]]/C118</f>
        <v>0.17649895515190483</v>
      </c>
      <c r="J33" s="18">
        <v>0.29799999999999999</v>
      </c>
      <c r="K33" s="17">
        <v>12731</v>
      </c>
      <c r="L33" s="80">
        <f>Table53[[#This Row],[TRUMP VOTES]]/C118</f>
        <v>0.40929111075389807</v>
      </c>
      <c r="M33" s="18">
        <v>0.69099999999999995</v>
      </c>
      <c r="N33" s="80">
        <f>1-(Table53[[#This Row],[NbP]]+Table53[[#This Row],[NbP2]])</f>
        <v>0.41420993409419715</v>
      </c>
    </row>
    <row r="34" spans="1:14" ht="20">
      <c r="A34" s="78" t="s">
        <v>1773</v>
      </c>
      <c r="B34" s="78" t="s">
        <v>297</v>
      </c>
      <c r="C34" s="78">
        <v>967</v>
      </c>
      <c r="D34" s="78">
        <f>Table52[[#This Row],[2021]]/C119</f>
        <v>3.3239035758602792E-3</v>
      </c>
      <c r="G34" s="16" t="s">
        <v>1838</v>
      </c>
      <c r="H34" s="17">
        <v>94212</v>
      </c>
      <c r="I34" s="80">
        <f>Table53[[#This Row],[BIDEN VOTES]]/C119</f>
        <v>0.32383826648288377</v>
      </c>
      <c r="J34" s="18">
        <v>0.65200000000000002</v>
      </c>
      <c r="K34" s="17">
        <v>47639</v>
      </c>
      <c r="L34" s="80">
        <f>Table53[[#This Row],[TRUMP VOTES]]/C119</f>
        <v>0.16375123314416529</v>
      </c>
      <c r="M34" s="18">
        <v>0.33</v>
      </c>
      <c r="N34" s="80">
        <f>1-(Table53[[#This Row],[NbP]]+Table53[[#This Row],[NbP2]])</f>
        <v>0.51241050037295088</v>
      </c>
    </row>
    <row r="35" spans="1:14" ht="20">
      <c r="A35" s="78" t="s">
        <v>1774</v>
      </c>
      <c r="B35" s="78" t="s">
        <v>297</v>
      </c>
      <c r="C35" s="78">
        <v>237</v>
      </c>
      <c r="D35" s="78">
        <f>Table52[[#This Row],[2021]]/C120</f>
        <v>3.6800670797037314E-3</v>
      </c>
      <c r="G35" s="16" t="s">
        <v>1839</v>
      </c>
      <c r="H35" s="17">
        <v>10901</v>
      </c>
      <c r="I35" s="80">
        <f>Table53[[#This Row],[BIDEN VOTES]]/C120</f>
        <v>0.16926755795717457</v>
      </c>
      <c r="J35" s="18">
        <v>0.33800000000000002</v>
      </c>
      <c r="K35" s="17">
        <v>20657</v>
      </c>
      <c r="L35" s="80">
        <f>Table53[[#This Row],[TRUMP VOTES]]/C120</f>
        <v>0.32075588888371298</v>
      </c>
      <c r="M35" s="18">
        <v>0.64100000000000001</v>
      </c>
      <c r="N35" s="80">
        <f>1-(Table53[[#This Row],[NbP]]+Table53[[#This Row],[NbP2]])</f>
        <v>0.5099765531591125</v>
      </c>
    </row>
    <row r="36" spans="1:14" ht="20">
      <c r="A36" s="78" t="s">
        <v>1775</v>
      </c>
      <c r="B36" s="78" t="s">
        <v>297</v>
      </c>
      <c r="C36" s="78">
        <v>77</v>
      </c>
      <c r="D36" s="78">
        <f>Table52[[#This Row],[2021]]/C121</f>
        <v>3.0539800896362988E-3</v>
      </c>
      <c r="G36" s="16" t="s">
        <v>1840</v>
      </c>
      <c r="H36" s="17">
        <v>5373</v>
      </c>
      <c r="I36" s="80">
        <f>Table53[[#This Row],[BIDEN VOTES]]/C121</f>
        <v>0.21310435093007576</v>
      </c>
      <c r="J36" s="18">
        <v>0.35</v>
      </c>
      <c r="K36" s="17">
        <v>9759</v>
      </c>
      <c r="L36" s="80">
        <f>Table53[[#This Row],[TRUMP VOTES]]/C121</f>
        <v>0.38706222980208621</v>
      </c>
      <c r="M36" s="18">
        <v>0.63500000000000001</v>
      </c>
      <c r="N36" s="80">
        <f>1-(Table53[[#This Row],[NbP]]+Table53[[#This Row],[NbP2]])</f>
        <v>0.399833419267838</v>
      </c>
    </row>
    <row r="37" spans="1:14" ht="20">
      <c r="A37" s="78" t="s">
        <v>1776</v>
      </c>
      <c r="B37" s="78" t="s">
        <v>297</v>
      </c>
      <c r="C37" s="78">
        <v>55</v>
      </c>
      <c r="D37" s="78">
        <f>Table52[[#This Row],[2021]]/C122</f>
        <v>4.9554013875123884E-3</v>
      </c>
      <c r="G37" s="16" t="s">
        <v>1841</v>
      </c>
      <c r="H37" s="17">
        <v>2493</v>
      </c>
      <c r="I37" s="80">
        <f>Table53[[#This Row],[BIDEN VOTES]]/C122</f>
        <v>0.22461483016487971</v>
      </c>
      <c r="J37" s="18">
        <v>0.36699999999999999</v>
      </c>
      <c r="K37" s="17">
        <v>4216</v>
      </c>
      <c r="L37" s="80">
        <f>Table53[[#This Row],[TRUMP VOTES]]/C122</f>
        <v>0.37985404090458602</v>
      </c>
      <c r="M37" s="18">
        <v>0.621</v>
      </c>
      <c r="N37" s="80">
        <f>1-(Table53[[#This Row],[NbP]]+Table53[[#This Row],[NbP2]])</f>
        <v>0.39553112893053433</v>
      </c>
    </row>
    <row r="38" spans="1:14" ht="20">
      <c r="A38" s="78" t="s">
        <v>1777</v>
      </c>
      <c r="B38" s="78" t="s">
        <v>297</v>
      </c>
      <c r="C38" s="78">
        <v>138</v>
      </c>
      <c r="D38" s="78">
        <f>Table52[[#This Row],[2021]]/C123</f>
        <v>1.9612580475534018E-3</v>
      </c>
      <c r="G38" s="16" t="s">
        <v>1842</v>
      </c>
      <c r="H38" s="17">
        <v>14072</v>
      </c>
      <c r="I38" s="80">
        <f>Table53[[#This Row],[BIDEN VOTES]]/C123</f>
        <v>0.19999147279109761</v>
      </c>
      <c r="J38" s="18">
        <v>0.47799999999999998</v>
      </c>
      <c r="K38" s="17">
        <v>14815</v>
      </c>
      <c r="L38" s="80">
        <f>Table53[[#This Row],[TRUMP VOTES]]/C123</f>
        <v>0.21055099981524381</v>
      </c>
      <c r="M38" s="18">
        <v>0.504</v>
      </c>
      <c r="N38" s="80">
        <f>1-(Table53[[#This Row],[NbP]]+Table53[[#This Row],[NbP2]])</f>
        <v>0.58945752739365864</v>
      </c>
    </row>
    <row r="39" spans="1:14" ht="20">
      <c r="A39" s="78" t="s">
        <v>114</v>
      </c>
      <c r="B39" s="78" t="s">
        <v>297</v>
      </c>
      <c r="C39" s="78">
        <v>660</v>
      </c>
      <c r="D39" s="78">
        <f>Table52[[#This Row],[2021]]/C124</f>
        <v>4.1726200260472643E-3</v>
      </c>
      <c r="G39" s="16" t="s">
        <v>213</v>
      </c>
      <c r="H39" s="17">
        <v>31995</v>
      </c>
      <c r="I39" s="80">
        <f>Table53[[#This Row],[BIDEN VOTES]]/C124</f>
        <v>0.20227723898997307</v>
      </c>
      <c r="J39" s="18">
        <v>0.39600000000000002</v>
      </c>
      <c r="K39" s="17">
        <v>47372</v>
      </c>
      <c r="L39" s="80">
        <f>Table53[[#This Row],[TRUMP VOTES]]/C124</f>
        <v>0.29949296344531973</v>
      </c>
      <c r="M39" s="18">
        <v>0.58599999999999997</v>
      </c>
      <c r="N39" s="80">
        <f>1-(Table53[[#This Row],[NbP]]+Table53[[#This Row],[NbP2]])</f>
        <v>0.4982297975647072</v>
      </c>
    </row>
    <row r="40" spans="1:14" ht="20">
      <c r="A40" s="78" t="s">
        <v>1778</v>
      </c>
      <c r="B40" s="78" t="s">
        <v>297</v>
      </c>
      <c r="C40" s="94">
        <v>1017</v>
      </c>
      <c r="D40" s="78">
        <f>Table52[[#This Row],[2021]]/C125</f>
        <v>3.8475798457941451E-3</v>
      </c>
      <c r="G40" s="16" t="s">
        <v>1843</v>
      </c>
      <c r="H40" s="17">
        <v>83686</v>
      </c>
      <c r="I40" s="80">
        <f>Table53[[#This Row],[BIDEN VOTES]]/C125</f>
        <v>0.31660626054584939</v>
      </c>
      <c r="J40" s="18">
        <v>0.58399999999999996</v>
      </c>
      <c r="K40" s="17">
        <v>56823</v>
      </c>
      <c r="L40" s="80">
        <f>Table53[[#This Row],[TRUMP VOTES]]/C125</f>
        <v>0.21497643026308821</v>
      </c>
      <c r="M40" s="18">
        <v>0.39600000000000002</v>
      </c>
      <c r="N40" s="80">
        <f>1-(Table53[[#This Row],[NbP]]+Table53[[#This Row],[NbP2]])</f>
        <v>0.46841730919106239</v>
      </c>
    </row>
    <row r="41" spans="1:14" ht="20">
      <c r="A41" s="78" t="s">
        <v>1779</v>
      </c>
      <c r="B41" s="78" t="s">
        <v>297</v>
      </c>
      <c r="C41" s="78">
        <v>85</v>
      </c>
      <c r="D41" s="78">
        <f>Table52[[#This Row],[2021]]/C126</f>
        <v>4.7954866008462623E-3</v>
      </c>
      <c r="G41" s="16" t="s">
        <v>1844</v>
      </c>
      <c r="H41" s="17">
        <v>3002</v>
      </c>
      <c r="I41" s="80">
        <f>Table53[[#This Row],[BIDEN VOTES]]/C126</f>
        <v>0.16936530324400564</v>
      </c>
      <c r="J41" s="18">
        <v>0.28199999999999997</v>
      </c>
      <c r="K41" s="17">
        <v>7436</v>
      </c>
      <c r="L41" s="80">
        <f>Table53[[#This Row],[TRUMP VOTES]]/C126</f>
        <v>0.41952045133991539</v>
      </c>
      <c r="M41" s="18">
        <v>0.7</v>
      </c>
      <c r="N41" s="80">
        <f>1-(Table53[[#This Row],[NbP]]+Table53[[#This Row],[NbP2]])</f>
        <v>0.41111424541607899</v>
      </c>
    </row>
    <row r="42" spans="1:14" ht="20">
      <c r="A42" s="78" t="s">
        <v>676</v>
      </c>
      <c r="B42" s="78" t="s">
        <v>297</v>
      </c>
      <c r="C42" s="94">
        <v>1702</v>
      </c>
      <c r="D42" s="78">
        <f>Table52[[#This Row],[2021]]/C127</f>
        <v>2.6079614843008995E-3</v>
      </c>
      <c r="G42" s="16" t="s">
        <v>449</v>
      </c>
      <c r="H42" s="17">
        <v>187915</v>
      </c>
      <c r="I42" s="80">
        <f>Table53[[#This Row],[BIDEN VOTES]]/C127</f>
        <v>0.28794070641739333</v>
      </c>
      <c r="J42" s="18">
        <v>0.52100000000000002</v>
      </c>
      <c r="K42" s="17">
        <v>165741</v>
      </c>
      <c r="L42" s="80">
        <f>Table53[[#This Row],[TRUMP VOTES]]/C127</f>
        <v>0.25396365709137214</v>
      </c>
      <c r="M42" s="18">
        <v>0.45900000000000002</v>
      </c>
      <c r="N42" s="80">
        <f>1-(Table53[[#This Row],[NbP]]+Table53[[#This Row],[NbP2]])</f>
        <v>0.45809563649123453</v>
      </c>
    </row>
    <row r="43" spans="1:14" ht="20">
      <c r="A43" s="78" t="s">
        <v>1780</v>
      </c>
      <c r="B43" s="78" t="s">
        <v>297</v>
      </c>
      <c r="C43" s="78">
        <v>6</v>
      </c>
      <c r="D43" s="78">
        <f>Table52[[#This Row],[2021]]/C128</f>
        <v>2.8544243577545195E-3</v>
      </c>
      <c r="G43" s="16" t="s">
        <v>1845</v>
      </c>
      <c r="H43" s="19">
        <v>672</v>
      </c>
      <c r="I43" s="80">
        <f>Table53[[#This Row],[BIDEN VOTES]]/C128</f>
        <v>0.31969552806850621</v>
      </c>
      <c r="J43" s="18">
        <v>0.432</v>
      </c>
      <c r="K43" s="19">
        <v>862</v>
      </c>
      <c r="L43" s="80">
        <f>Table53[[#This Row],[TRUMP VOTES]]/C128</f>
        <v>0.41008563273073262</v>
      </c>
      <c r="M43" s="18">
        <v>0.55400000000000005</v>
      </c>
      <c r="N43" s="80">
        <f>1-(Table53[[#This Row],[NbP]]+Table53[[#This Row],[NbP2]])</f>
        <v>0.27021883920076117</v>
      </c>
    </row>
    <row r="44" spans="1:14" ht="20">
      <c r="A44" s="78" t="s">
        <v>118</v>
      </c>
      <c r="B44" s="78" t="s">
        <v>297</v>
      </c>
      <c r="C44" s="78">
        <v>64</v>
      </c>
      <c r="D44" s="78">
        <f>Table52[[#This Row],[2021]]/C129</f>
        <v>5.4214315967810248E-3</v>
      </c>
      <c r="G44" s="16" t="s">
        <v>217</v>
      </c>
      <c r="H44" s="17">
        <v>2288</v>
      </c>
      <c r="I44" s="80">
        <f>Table53[[#This Row],[BIDEN VOTES]]/C129</f>
        <v>0.19381617958492164</v>
      </c>
      <c r="J44" s="18">
        <v>0.36199999999999999</v>
      </c>
      <c r="K44" s="17">
        <v>3946</v>
      </c>
      <c r="L44" s="80">
        <f>Table53[[#This Row],[TRUMP VOTES]]/C129</f>
        <v>0.33426514188903006</v>
      </c>
      <c r="M44" s="18">
        <v>0.624</v>
      </c>
      <c r="N44" s="80">
        <f>1-(Table53[[#This Row],[NbP]]+Table53[[#This Row],[NbP2]])</f>
        <v>0.4719186785260483</v>
      </c>
    </row>
    <row r="45" spans="1:14" ht="20">
      <c r="A45" s="78" t="s">
        <v>1781</v>
      </c>
      <c r="B45" s="78" t="s">
        <v>297</v>
      </c>
      <c r="C45" s="78">
        <v>154</v>
      </c>
      <c r="D45" s="78">
        <f>Table52[[#This Row],[2021]]/C130</f>
        <v>1.7504973003694231E-3</v>
      </c>
      <c r="G45" s="16" t="s">
        <v>1846</v>
      </c>
      <c r="H45" s="17">
        <v>16367</v>
      </c>
      <c r="I45" s="80">
        <f>Table53[[#This Row],[BIDEN VOTES]]/C130</f>
        <v>0.18604148905939188</v>
      </c>
      <c r="J45" s="18">
        <v>0.311</v>
      </c>
      <c r="K45" s="17">
        <v>35482</v>
      </c>
      <c r="L45" s="80">
        <f>Table53[[#This Row],[TRUMP VOTES]]/C130</f>
        <v>0.40331912475134979</v>
      </c>
      <c r="M45" s="18">
        <v>0.67400000000000004</v>
      </c>
      <c r="N45" s="80">
        <f>1-(Table53[[#This Row],[NbP]]+Table53[[#This Row],[NbP2]])</f>
        <v>0.41063938618925833</v>
      </c>
    </row>
    <row r="46" spans="1:14" ht="20">
      <c r="A46" s="78" t="s">
        <v>1782</v>
      </c>
      <c r="B46" s="78" t="s">
        <v>297</v>
      </c>
      <c r="C46" s="78">
        <v>21</v>
      </c>
      <c r="D46" s="78">
        <f>Table52[[#This Row],[2021]]/C131</f>
        <v>9.7002171000970018E-4</v>
      </c>
      <c r="G46" s="16" t="s">
        <v>1847</v>
      </c>
      <c r="H46" s="17">
        <v>8795</v>
      </c>
      <c r="I46" s="80">
        <f>Table53[[#This Row],[BIDEN VOTES]]/C131</f>
        <v>0.40625433045406256</v>
      </c>
      <c r="J46" s="18">
        <v>0.52</v>
      </c>
      <c r="K46" s="17">
        <v>7916</v>
      </c>
      <c r="L46" s="80">
        <f>Table53[[#This Row],[TRUMP VOTES]]/C131</f>
        <v>0.36565199316365654</v>
      </c>
      <c r="M46" s="18">
        <v>0.46800000000000003</v>
      </c>
      <c r="N46" s="80">
        <f>1-(Table53[[#This Row],[NbP]]+Table53[[#This Row],[NbP2]])</f>
        <v>0.22809367638228095</v>
      </c>
    </row>
    <row r="47" spans="1:14" ht="20">
      <c r="A47" s="78" t="s">
        <v>1783</v>
      </c>
      <c r="B47" s="78" t="s">
        <v>297</v>
      </c>
      <c r="C47" s="78">
        <v>335</v>
      </c>
      <c r="D47" s="78">
        <f>Table52[[#This Row],[2021]]/C132</f>
        <v>3.4075882412775912E-3</v>
      </c>
      <c r="G47" s="16" t="s">
        <v>1848</v>
      </c>
      <c r="H47" s="17">
        <v>20918</v>
      </c>
      <c r="I47" s="80">
        <f>Table53[[#This Row],[BIDEN VOTES]]/C132</f>
        <v>0.21277591292849152</v>
      </c>
      <c r="J47" s="18">
        <v>0.39200000000000002</v>
      </c>
      <c r="K47" s="17">
        <v>31541</v>
      </c>
      <c r="L47" s="80">
        <f>Table53[[#This Row],[TRUMP VOTES]]/C132</f>
        <v>0.32083206184518359</v>
      </c>
      <c r="M47" s="18">
        <v>0.59099999999999997</v>
      </c>
      <c r="N47" s="80">
        <f>1-(Table53[[#This Row],[NbP]]+Table53[[#This Row],[NbP2]])</f>
        <v>0.46639202522632495</v>
      </c>
    </row>
    <row r="48" spans="1:14" ht="20">
      <c r="A48" s="78" t="s">
        <v>1399</v>
      </c>
      <c r="B48" s="78" t="s">
        <v>297</v>
      </c>
      <c r="C48" s="78">
        <v>226</v>
      </c>
      <c r="D48" s="78">
        <f>Table52[[#This Row],[2021]]/C133</f>
        <v>1.1842877504820994E-3</v>
      </c>
      <c r="G48" s="16" t="s">
        <v>1407</v>
      </c>
      <c r="H48" s="17">
        <v>48220</v>
      </c>
      <c r="I48" s="80">
        <f>Table53[[#This Row],[BIDEN VOTES]]/C133</f>
        <v>0.25268298817808332</v>
      </c>
      <c r="J48" s="18">
        <v>0.379</v>
      </c>
      <c r="K48" s="17">
        <v>76982</v>
      </c>
      <c r="L48" s="80">
        <f>Table53[[#This Row],[TRUMP VOTES]]/C133</f>
        <v>0.40340194516642913</v>
      </c>
      <c r="M48" s="18">
        <v>0.60499999999999998</v>
      </c>
      <c r="N48" s="80">
        <f>1-(Table53[[#This Row],[NbP]]+Table53[[#This Row],[NbP2]])</f>
        <v>0.34391506665548754</v>
      </c>
    </row>
    <row r="49" spans="1:14" ht="20">
      <c r="A49" s="78" t="s">
        <v>1784</v>
      </c>
      <c r="B49" s="78" t="s">
        <v>297</v>
      </c>
      <c r="C49" s="78">
        <v>12</v>
      </c>
      <c r="D49" s="78">
        <f>Table52[[#This Row],[2021]]/C134</f>
        <v>1.9090041361756285E-3</v>
      </c>
      <c r="G49" s="16" t="s">
        <v>1849</v>
      </c>
      <c r="H49" s="19">
        <v>842</v>
      </c>
      <c r="I49" s="80">
        <f>Table53[[#This Row],[BIDEN VOTES]]/C134</f>
        <v>0.13394845688832327</v>
      </c>
      <c r="J49" s="18">
        <v>0.28100000000000003</v>
      </c>
      <c r="K49" s="17">
        <v>2109</v>
      </c>
      <c r="L49" s="80">
        <f>Table53[[#This Row],[TRUMP VOTES]]/C134</f>
        <v>0.3355074769328667</v>
      </c>
      <c r="M49" s="18">
        <v>0.70299999999999996</v>
      </c>
      <c r="N49" s="80">
        <f>1-(Table53[[#This Row],[NbP]]+Table53[[#This Row],[NbP2]])</f>
        <v>0.53054406617881</v>
      </c>
    </row>
    <row r="50" spans="1:14" ht="20">
      <c r="A50" s="78" t="s">
        <v>1785</v>
      </c>
      <c r="B50" s="78" t="s">
        <v>297</v>
      </c>
      <c r="C50" s="78">
        <v>26</v>
      </c>
      <c r="D50" s="78">
        <f>Table52[[#This Row],[2021]]/C135</f>
        <v>2.4116501252202951E-3</v>
      </c>
      <c r="G50" s="16" t="s">
        <v>1850</v>
      </c>
      <c r="H50" s="17">
        <v>2632</v>
      </c>
      <c r="I50" s="80">
        <f>Table53[[#This Row],[BIDEN VOTES]]/C135</f>
        <v>0.24413319729153141</v>
      </c>
      <c r="J50" s="18">
        <v>0.375</v>
      </c>
      <c r="K50" s="17">
        <v>4304</v>
      </c>
      <c r="L50" s="80">
        <f>Table53[[#This Row],[TRUMP VOTES]]/C135</f>
        <v>0.39922085149800574</v>
      </c>
      <c r="M50" s="18">
        <v>0.61399999999999999</v>
      </c>
      <c r="N50" s="80">
        <f>1-(Table53[[#This Row],[NbP]]+Table53[[#This Row],[NbP2]])</f>
        <v>0.35664595121046283</v>
      </c>
    </row>
    <row r="51" spans="1:14" ht="20">
      <c r="A51" s="78" t="s">
        <v>1786</v>
      </c>
      <c r="B51" s="78" t="s">
        <v>297</v>
      </c>
      <c r="C51" s="94">
        <v>1103</v>
      </c>
      <c r="D51" s="78">
        <f>Table52[[#This Row],[2021]]/C136</f>
        <v>1.2665160932514097E-3</v>
      </c>
      <c r="G51" s="16" t="s">
        <v>1851</v>
      </c>
      <c r="H51" s="17">
        <v>223952</v>
      </c>
      <c r="I51" s="80">
        <f>Table53[[#This Row],[BIDEN VOTES]]/C136</f>
        <v>0.25715214153747934</v>
      </c>
      <c r="J51" s="18">
        <v>0.45300000000000001</v>
      </c>
      <c r="K51" s="17">
        <v>263863</v>
      </c>
      <c r="L51" s="80">
        <f>Table53[[#This Row],[TRUMP VOTES]]/C136</f>
        <v>0.3029798149715292</v>
      </c>
      <c r="M51" s="18">
        <v>0.53400000000000003</v>
      </c>
      <c r="N51" s="80">
        <f>1-(Table53[[#This Row],[NbP]]+Table53[[#This Row],[NbP2]])</f>
        <v>0.4398680434909914</v>
      </c>
    </row>
    <row r="52" spans="1:14" ht="20">
      <c r="A52" s="78" t="s">
        <v>1787</v>
      </c>
      <c r="B52" s="78" t="s">
        <v>297</v>
      </c>
      <c r="C52" s="78">
        <v>59</v>
      </c>
      <c r="D52" s="78">
        <f>Table52[[#This Row],[2021]]/C137</f>
        <v>2.4043359550103916E-3</v>
      </c>
      <c r="G52" s="16" t="s">
        <v>1852</v>
      </c>
      <c r="H52" s="17">
        <v>6107</v>
      </c>
      <c r="I52" s="80">
        <f>Table53[[#This Row],[BIDEN VOTES]]/C137</f>
        <v>0.24886914707200783</v>
      </c>
      <c r="J52" s="18">
        <v>0.41699999999999998</v>
      </c>
      <c r="K52" s="17">
        <v>8321</v>
      </c>
      <c r="L52" s="80">
        <f>Table53[[#This Row],[TRUMP VOTES]]/C137</f>
        <v>0.33909287257019438</v>
      </c>
      <c r="M52" s="18">
        <v>0.56799999999999995</v>
      </c>
      <c r="N52" s="80">
        <f>1-(Table53[[#This Row],[NbP]]+Table53[[#This Row],[NbP2]])</f>
        <v>0.41203798035779782</v>
      </c>
    </row>
    <row r="53" spans="1:14" ht="20">
      <c r="A53" s="78" t="s">
        <v>1788</v>
      </c>
      <c r="B53" s="78" t="s">
        <v>297</v>
      </c>
      <c r="C53" s="78">
        <v>148</v>
      </c>
      <c r="D53" s="78">
        <f>Table52[[#This Row],[2021]]/C138</f>
        <v>2.2288149631793743E-3</v>
      </c>
      <c r="G53" s="16" t="s">
        <v>1853</v>
      </c>
      <c r="H53" s="17">
        <v>20465</v>
      </c>
      <c r="I53" s="80">
        <f>Table53[[#This Row],[BIDEN VOTES]]/C138</f>
        <v>0.3081939069017966</v>
      </c>
      <c r="J53" s="18">
        <v>0.54600000000000004</v>
      </c>
      <c r="K53" s="17">
        <v>16286</v>
      </c>
      <c r="L53" s="80">
        <f>Table53[[#This Row],[TRUMP VOTES]]/C138</f>
        <v>0.24526000331310333</v>
      </c>
      <c r="M53" s="18">
        <v>0.435</v>
      </c>
      <c r="N53" s="80">
        <f>1-(Table53[[#This Row],[NbP]]+Table53[[#This Row],[NbP2]])</f>
        <v>0.44654608978510013</v>
      </c>
    </row>
    <row r="54" spans="1:14" ht="20">
      <c r="A54" s="78" t="s">
        <v>701</v>
      </c>
      <c r="B54" s="78" t="s">
        <v>297</v>
      </c>
      <c r="C54" s="78">
        <v>62</v>
      </c>
      <c r="D54" s="78">
        <f>Table52[[#This Row],[2021]]/C139</f>
        <v>2.1333700364737458E-3</v>
      </c>
      <c r="G54" s="16" t="s">
        <v>470</v>
      </c>
      <c r="H54" s="17">
        <v>6802</v>
      </c>
      <c r="I54" s="80">
        <f>Table53[[#This Row],[BIDEN VOTES]]/C139</f>
        <v>0.23405133851765192</v>
      </c>
      <c r="J54" s="18">
        <v>0.39400000000000002</v>
      </c>
      <c r="K54" s="17">
        <v>10207</v>
      </c>
      <c r="L54" s="80">
        <f>Table53[[#This Row],[TRUMP VOTES]]/C139</f>
        <v>0.35121464455302459</v>
      </c>
      <c r="M54" s="18">
        <v>0.59199999999999997</v>
      </c>
      <c r="N54" s="80">
        <f>1-(Table53[[#This Row],[NbP]]+Table53[[#This Row],[NbP2]])</f>
        <v>0.41473401692932343</v>
      </c>
    </row>
    <row r="55" spans="1:14" ht="20">
      <c r="A55" s="78" t="s">
        <v>1789</v>
      </c>
      <c r="B55" s="78" t="s">
        <v>297</v>
      </c>
      <c r="C55" s="78">
        <v>127</v>
      </c>
      <c r="D55" s="78">
        <f>Table52[[#This Row],[2021]]/C140</f>
        <v>2.9208159885927188E-3</v>
      </c>
      <c r="G55" s="16" t="s">
        <v>1854</v>
      </c>
      <c r="H55" s="17">
        <v>7375</v>
      </c>
      <c r="I55" s="80">
        <f>Table53[[#This Row],[BIDEN VOTES]]/C140</f>
        <v>0.1696143142981992</v>
      </c>
      <c r="J55" s="18">
        <v>0.35</v>
      </c>
      <c r="K55" s="17">
        <v>13267</v>
      </c>
      <c r="L55" s="80">
        <f>Table53[[#This Row],[TRUMP VOTES]]/C140</f>
        <v>0.30512177732802831</v>
      </c>
      <c r="M55" s="18">
        <v>0.63</v>
      </c>
      <c r="N55" s="80">
        <f>1-(Table53[[#This Row],[NbP]]+Table53[[#This Row],[NbP2]])</f>
        <v>0.52526390837377246</v>
      </c>
    </row>
    <row r="56" spans="1:14" ht="20">
      <c r="A56" s="78" t="s">
        <v>1790</v>
      </c>
      <c r="B56" s="78" t="s">
        <v>297</v>
      </c>
      <c r="C56" s="78">
        <v>41</v>
      </c>
      <c r="D56" s="78">
        <f>Table52[[#This Row],[2021]]/C141</f>
        <v>1.7902366605536634E-3</v>
      </c>
      <c r="G56" s="16" t="s">
        <v>1855</v>
      </c>
      <c r="H56" s="17">
        <v>4316</v>
      </c>
      <c r="I56" s="80">
        <f>Table53[[#This Row],[BIDEN VOTES]]/C141</f>
        <v>0.18845515675486857</v>
      </c>
      <c r="J56" s="18">
        <v>0.34200000000000003</v>
      </c>
      <c r="K56" s="17">
        <v>8117</v>
      </c>
      <c r="L56" s="80">
        <f>Table53[[#This Row],[TRUMP VOTES]]/C141</f>
        <v>0.35442319448083137</v>
      </c>
      <c r="M56" s="18">
        <v>0.64400000000000002</v>
      </c>
      <c r="N56" s="80">
        <f>1-(Table53[[#This Row],[NbP]]+Table53[[#This Row],[NbP2]])</f>
        <v>0.45712164876430006</v>
      </c>
    </row>
    <row r="57" spans="1:14" ht="20">
      <c r="A57" s="78" t="s">
        <v>706</v>
      </c>
      <c r="B57" s="78" t="s">
        <v>297</v>
      </c>
      <c r="C57" s="78">
        <v>205</v>
      </c>
      <c r="D57" s="78">
        <f>Table52[[#This Row],[2021]]/C142</f>
        <v>2.456708011264905E-3</v>
      </c>
      <c r="G57" s="16" t="s">
        <v>478</v>
      </c>
      <c r="H57" s="17">
        <v>20493</v>
      </c>
      <c r="I57" s="80">
        <f>Table53[[#This Row],[BIDEN VOTES]]/C142</f>
        <v>0.24558691353586196</v>
      </c>
      <c r="J57" s="18">
        <v>0.41799999999999998</v>
      </c>
      <c r="K57" s="17">
        <v>27675</v>
      </c>
      <c r="L57" s="80">
        <f>Table53[[#This Row],[TRUMP VOTES]]/C142</f>
        <v>0.33165558152076219</v>
      </c>
      <c r="M57" s="18">
        <v>0.56399999999999995</v>
      </c>
      <c r="N57" s="80">
        <f>1-(Table53[[#This Row],[NbP]]+Table53[[#This Row],[NbP2]])</f>
        <v>0.42275750494337583</v>
      </c>
    </row>
    <row r="58" spans="1:14" ht="20">
      <c r="A58" s="78" t="s">
        <v>1791</v>
      </c>
      <c r="B58" s="78" t="s">
        <v>297</v>
      </c>
      <c r="C58" s="78">
        <v>72</v>
      </c>
      <c r="D58" s="78">
        <f>Table52[[#This Row],[2021]]/C143</f>
        <v>4.7761194029850747E-3</v>
      </c>
      <c r="G58" s="16" t="s">
        <v>1856</v>
      </c>
      <c r="H58" s="17">
        <v>1967</v>
      </c>
      <c r="I58" s="80">
        <f>Table53[[#This Row],[BIDEN VOTES]]/C143</f>
        <v>0.13048092868988392</v>
      </c>
      <c r="J58" s="18">
        <v>0.22500000000000001</v>
      </c>
      <c r="K58" s="17">
        <v>6648</v>
      </c>
      <c r="L58" s="80">
        <f>Table53[[#This Row],[TRUMP VOTES]]/C143</f>
        <v>0.44099502487562187</v>
      </c>
      <c r="M58" s="18">
        <v>0.75900000000000001</v>
      </c>
      <c r="N58" s="80">
        <f>1-(Table53[[#This Row],[NbP]]+Table53[[#This Row],[NbP2]])</f>
        <v>0.42852404643449415</v>
      </c>
    </row>
    <row r="59" spans="1:14" ht="20">
      <c r="A59" s="78" t="s">
        <v>132</v>
      </c>
      <c r="B59" s="78" t="s">
        <v>297</v>
      </c>
      <c r="C59" s="78">
        <v>306</v>
      </c>
      <c r="D59" s="78">
        <f>Table52[[#This Row],[2021]]/C144</f>
        <v>2.0400000000000001E-3</v>
      </c>
      <c r="G59" s="16" t="s">
        <v>231</v>
      </c>
      <c r="H59" s="17">
        <v>32975</v>
      </c>
      <c r="I59" s="80">
        <f>Table53[[#This Row],[BIDEN VOTES]]/C144</f>
        <v>0.21983333333333333</v>
      </c>
      <c r="J59" s="18">
        <v>0.378</v>
      </c>
      <c r="K59" s="17">
        <v>52710</v>
      </c>
      <c r="L59" s="80">
        <f>Table53[[#This Row],[TRUMP VOTES]]/C144</f>
        <v>0.35139999999999999</v>
      </c>
      <c r="M59" s="18">
        <v>0.60499999999999998</v>
      </c>
      <c r="N59" s="80">
        <f>1-(Table53[[#This Row],[NbP]]+Table53[[#This Row],[NbP2]])</f>
        <v>0.42876666666666674</v>
      </c>
    </row>
    <row r="60" spans="1:14" ht="20">
      <c r="A60" s="78" t="s">
        <v>1792</v>
      </c>
      <c r="B60" s="78" t="s">
        <v>297</v>
      </c>
      <c r="C60" s="78">
        <v>239</v>
      </c>
      <c r="D60" s="78">
        <f>Table52[[#This Row],[2021]]/C145</f>
        <v>3.762831412557466E-3</v>
      </c>
      <c r="G60" s="16" t="s">
        <v>1857</v>
      </c>
      <c r="H60" s="17">
        <v>9703</v>
      </c>
      <c r="I60" s="80">
        <f>Table53[[#This Row],[BIDEN VOTES]]/C145</f>
        <v>0.15276465772403805</v>
      </c>
      <c r="J60" s="18">
        <v>0.30199999999999999</v>
      </c>
      <c r="K60" s="17">
        <v>21815</v>
      </c>
      <c r="L60" s="80">
        <f>Table53[[#This Row],[TRUMP VOTES]]/C145</f>
        <v>0.34345676679891679</v>
      </c>
      <c r="M60" s="18">
        <v>0.68</v>
      </c>
      <c r="N60" s="80">
        <f>1-(Table53[[#This Row],[NbP]]+Table53[[#This Row],[NbP2]])</f>
        <v>0.50377857547704519</v>
      </c>
    </row>
    <row r="61" spans="1:14" ht="20">
      <c r="A61" s="78" t="s">
        <v>1793</v>
      </c>
      <c r="B61" s="78" t="s">
        <v>297</v>
      </c>
      <c r="C61" s="78">
        <v>23</v>
      </c>
      <c r="D61" s="78">
        <f>Table52[[#This Row],[2021]]/C146</f>
        <v>2.4811218985976266E-3</v>
      </c>
      <c r="G61" s="16" t="s">
        <v>1858</v>
      </c>
      <c r="H61" s="17">
        <v>1628</v>
      </c>
      <c r="I61" s="80">
        <f>Table53[[#This Row],[BIDEN VOTES]]/C146</f>
        <v>0.17562028047464939</v>
      </c>
      <c r="J61" s="18">
        <v>0.27800000000000002</v>
      </c>
      <c r="K61" s="17">
        <v>4171</v>
      </c>
      <c r="L61" s="80">
        <f>Table53[[#This Row],[TRUMP VOTES]]/C146</f>
        <v>0.44994606256742181</v>
      </c>
      <c r="M61" s="18">
        <v>0.71199999999999997</v>
      </c>
      <c r="N61" s="80">
        <f>1-(Table53[[#This Row],[NbP]]+Table53[[#This Row],[NbP2]])</f>
        <v>0.37443365695792874</v>
      </c>
    </row>
    <row r="62" spans="1:14" ht="20">
      <c r="A62" s="78" t="s">
        <v>1794</v>
      </c>
      <c r="B62" s="78" t="s">
        <v>297</v>
      </c>
      <c r="C62" s="78">
        <v>800</v>
      </c>
      <c r="D62" s="78">
        <f>Table52[[#This Row],[2021]]/C147</f>
        <v>4.6061987920243668E-3</v>
      </c>
      <c r="G62" s="16" t="s">
        <v>1859</v>
      </c>
      <c r="H62" s="17">
        <v>45643</v>
      </c>
      <c r="I62" s="80">
        <f>Table53[[#This Row],[BIDEN VOTES]]/C147</f>
        <v>0.26280091433046021</v>
      </c>
      <c r="J62" s="18">
        <v>0.49399999999999999</v>
      </c>
      <c r="K62" s="17">
        <v>45133</v>
      </c>
      <c r="L62" s="80">
        <f>Table53[[#This Row],[TRUMP VOTES]]/C147</f>
        <v>0.25986446260054469</v>
      </c>
      <c r="M62" s="18">
        <v>0.48799999999999999</v>
      </c>
      <c r="N62" s="80">
        <f>1-(Table53[[#This Row],[NbP]]+Table53[[#This Row],[NbP2]])</f>
        <v>0.4773346230689951</v>
      </c>
    </row>
    <row r="63" spans="1:14" ht="20">
      <c r="A63" s="78" t="s">
        <v>1795</v>
      </c>
      <c r="B63" s="78" t="s">
        <v>297</v>
      </c>
      <c r="C63" s="78">
        <v>196</v>
      </c>
      <c r="D63" s="78">
        <f>Table52[[#This Row],[2021]]/C148</f>
        <v>4.0257152833405221E-3</v>
      </c>
      <c r="G63" s="16" t="s">
        <v>1860</v>
      </c>
      <c r="H63" s="17">
        <v>7873</v>
      </c>
      <c r="I63" s="80">
        <f>Table53[[#This Row],[BIDEN VOTES]]/C148</f>
        <v>0.16170641033540781</v>
      </c>
      <c r="J63" s="18">
        <v>0.28999999999999998</v>
      </c>
      <c r="K63" s="17">
        <v>18857</v>
      </c>
      <c r="L63" s="80">
        <f>Table53[[#This Row],[TRUMP VOTES]]/C148</f>
        <v>0.38731078111200112</v>
      </c>
      <c r="M63" s="18">
        <v>0.69399999999999995</v>
      </c>
      <c r="N63" s="80">
        <f>1-(Table53[[#This Row],[NbP]]+Table53[[#This Row],[NbP2]])</f>
        <v>0.4509828085525911</v>
      </c>
    </row>
    <row r="64" spans="1:14" ht="20">
      <c r="A64" s="78" t="s">
        <v>1796</v>
      </c>
      <c r="B64" s="78" t="s">
        <v>297</v>
      </c>
      <c r="C64" s="94">
        <v>1204</v>
      </c>
      <c r="D64" s="78">
        <f>Table52[[#This Row],[2021]]/C149</f>
        <v>9.5910271320917041E-4</v>
      </c>
      <c r="G64" s="16" t="s">
        <v>1861</v>
      </c>
      <c r="H64" s="17">
        <v>434148</v>
      </c>
      <c r="I64" s="80">
        <f>Table53[[#This Row],[BIDEN VOTES]]/C149</f>
        <v>0.34584096738732134</v>
      </c>
      <c r="J64" s="18">
        <v>0.56399999999999995</v>
      </c>
      <c r="K64" s="17">
        <v>325971</v>
      </c>
      <c r="L64" s="80">
        <f>Table53[[#This Row],[TRUMP VOTES]]/C149</f>
        <v>0.25966750043812831</v>
      </c>
      <c r="M64" s="18">
        <v>0.42299999999999999</v>
      </c>
      <c r="N64" s="80">
        <f>1-(Table53[[#This Row],[NbP]]+Table53[[#This Row],[NbP2]])</f>
        <v>0.39449153217455035</v>
      </c>
    </row>
    <row r="65" spans="1:14" ht="20">
      <c r="A65" s="78" t="s">
        <v>1797</v>
      </c>
      <c r="B65" s="78" t="s">
        <v>297</v>
      </c>
      <c r="C65" s="78">
        <v>115</v>
      </c>
      <c r="D65" s="78">
        <f>Table52[[#This Row],[2021]]/C150</f>
        <v>4.3322659634582785E-3</v>
      </c>
      <c r="G65" s="16" t="s">
        <v>1862</v>
      </c>
      <c r="H65" s="17">
        <v>4944</v>
      </c>
      <c r="I65" s="80">
        <f>Table53[[#This Row],[BIDEN VOTES]]/C150</f>
        <v>0.18624976455076286</v>
      </c>
      <c r="J65" s="18">
        <v>0.35199999999999998</v>
      </c>
      <c r="K65" s="17">
        <v>8892</v>
      </c>
      <c r="L65" s="80">
        <f>Table53[[#This Row],[TRUMP VOTES]]/C150</f>
        <v>0.33497833867018273</v>
      </c>
      <c r="M65" s="18">
        <v>0.63200000000000001</v>
      </c>
      <c r="N65" s="80">
        <f>1-(Table53[[#This Row],[NbP]]+Table53[[#This Row],[NbP2]])</f>
        <v>0.47877189677905441</v>
      </c>
    </row>
    <row r="66" spans="1:14" ht="20">
      <c r="A66" s="78" t="s">
        <v>1798</v>
      </c>
      <c r="B66" s="78" t="s">
        <v>297</v>
      </c>
      <c r="C66" s="78">
        <v>63</v>
      </c>
      <c r="D66" s="78">
        <f>Table52[[#This Row],[2021]]/C151</f>
        <v>3.015075376884422E-3</v>
      </c>
      <c r="G66" s="16" t="s">
        <v>1863</v>
      </c>
      <c r="H66" s="17">
        <v>3475</v>
      </c>
      <c r="I66" s="80">
        <f>Table53[[#This Row],[BIDEN VOTES]]/C151</f>
        <v>0.16630772912179947</v>
      </c>
      <c r="J66" s="18">
        <v>0.29199999999999998</v>
      </c>
      <c r="K66" s="17">
        <v>8253</v>
      </c>
      <c r="L66" s="80">
        <f>Table53[[#This Row],[TRUMP VOTES]]/C151</f>
        <v>0.3949748743718593</v>
      </c>
      <c r="M66" s="18">
        <v>0.69299999999999995</v>
      </c>
      <c r="N66" s="80">
        <f>1-(Table53[[#This Row],[NbP]]+Table53[[#This Row],[NbP2]])</f>
        <v>0.43871739650634123</v>
      </c>
    </row>
    <row r="67" spans="1:14" ht="20">
      <c r="A67" s="78" t="s">
        <v>1799</v>
      </c>
      <c r="B67" s="78" t="s">
        <v>297</v>
      </c>
      <c r="C67" s="78">
        <v>34</v>
      </c>
      <c r="D67" s="78">
        <f>Table52[[#This Row],[2021]]/C152</f>
        <v>5.8600482592209586E-3</v>
      </c>
      <c r="G67" s="16" t="s">
        <v>1864</v>
      </c>
      <c r="H67" s="17">
        <v>1391</v>
      </c>
      <c r="I67" s="80">
        <f>Table53[[#This Row],[BIDEN VOTES]]/C152</f>
        <v>0.23974491554636332</v>
      </c>
      <c r="J67" s="18">
        <v>0.36599999999999999</v>
      </c>
      <c r="K67" s="17">
        <v>2358</v>
      </c>
      <c r="L67" s="80">
        <f>Table53[[#This Row],[TRUMP VOTES]]/C152</f>
        <v>0.40641158221302998</v>
      </c>
      <c r="M67" s="18">
        <v>0.62</v>
      </c>
      <c r="N67" s="80">
        <f>1-(Table53[[#This Row],[NbP]]+Table53[[#This Row],[NbP2]])</f>
        <v>0.35384350224060668</v>
      </c>
    </row>
    <row r="68" spans="1:14" ht="20">
      <c r="A68" s="78" t="s">
        <v>1516</v>
      </c>
      <c r="B68" s="78" t="s">
        <v>297</v>
      </c>
      <c r="C68" s="78">
        <v>91</v>
      </c>
      <c r="D68" s="78">
        <f>Table52[[#This Row],[2021]]/C153</f>
        <v>3.9017279080735753E-3</v>
      </c>
      <c r="G68" s="16" t="s">
        <v>1559</v>
      </c>
      <c r="H68" s="17">
        <v>3214</v>
      </c>
      <c r="I68" s="80">
        <f>Table53[[#This Row],[BIDEN VOTES]]/C153</f>
        <v>0.13780388457745574</v>
      </c>
      <c r="J68" s="18">
        <v>0.26100000000000001</v>
      </c>
      <c r="K68" s="17">
        <v>8928</v>
      </c>
      <c r="L68" s="80">
        <f>Table53[[#This Row],[TRUMP VOTES]]/C153</f>
        <v>0.38279809629978989</v>
      </c>
      <c r="M68" s="18">
        <v>0.72399999999999998</v>
      </c>
      <c r="N68" s="80">
        <f>1-(Table53[[#This Row],[NbP]]+Table53[[#This Row],[NbP2]])</f>
        <v>0.47939801912275437</v>
      </c>
    </row>
    <row r="69" spans="1:14" ht="20">
      <c r="A69" s="78" t="s">
        <v>1800</v>
      </c>
      <c r="B69" s="78" t="s">
        <v>297</v>
      </c>
      <c r="C69" s="78">
        <v>35</v>
      </c>
      <c r="D69" s="78">
        <f>Table52[[#This Row],[2021]]/C154</f>
        <v>4.2260323593334946E-3</v>
      </c>
      <c r="G69" s="16" t="s">
        <v>1865</v>
      </c>
      <c r="H69" s="17">
        <v>1342</v>
      </c>
      <c r="I69" s="80">
        <f>Table53[[#This Row],[BIDEN VOTES]]/C154</f>
        <v>0.1620381550350157</v>
      </c>
      <c r="J69" s="18">
        <v>0.27500000000000002</v>
      </c>
      <c r="K69" s="17">
        <v>3466</v>
      </c>
      <c r="L69" s="80">
        <f>Table53[[#This Row],[TRUMP VOTES]]/C154</f>
        <v>0.41849794735571116</v>
      </c>
      <c r="M69" s="18">
        <v>0.71099999999999997</v>
      </c>
      <c r="N69" s="80">
        <f>1-(Table53[[#This Row],[NbP]]+Table53[[#This Row],[NbP2]])</f>
        <v>0.41946389760927316</v>
      </c>
    </row>
    <row r="70" spans="1:14" ht="20">
      <c r="A70" s="78" t="s">
        <v>1801</v>
      </c>
      <c r="B70" s="78" t="s">
        <v>297</v>
      </c>
      <c r="C70" s="78">
        <v>107</v>
      </c>
      <c r="D70" s="78">
        <f>Table52[[#This Row],[2021]]/C155</f>
        <v>4.3472961443139805E-3</v>
      </c>
      <c r="G70" s="16" t="s">
        <v>1866</v>
      </c>
      <c r="H70" s="17">
        <v>4743</v>
      </c>
      <c r="I70" s="80">
        <f>Table53[[#This Row],[BIDEN VOTES]]/C155</f>
        <v>0.19270304310730102</v>
      </c>
      <c r="J70" s="18">
        <v>0.32100000000000001</v>
      </c>
      <c r="K70" s="17">
        <v>9779</v>
      </c>
      <c r="L70" s="80">
        <f>Table53[[#This Row],[TRUMP VOTES]]/C155</f>
        <v>0.39731036444155526</v>
      </c>
      <c r="M70" s="18">
        <v>0.66300000000000003</v>
      </c>
      <c r="N70" s="80">
        <f>1-(Table53[[#This Row],[NbP]]+Table53[[#This Row],[NbP2]])</f>
        <v>0.40998659245114366</v>
      </c>
    </row>
    <row r="71" spans="1:14" ht="20">
      <c r="A71" s="78" t="s">
        <v>1802</v>
      </c>
      <c r="B71" s="78" t="s">
        <v>297</v>
      </c>
      <c r="C71" s="78">
        <v>560</v>
      </c>
      <c r="D71" s="78">
        <f>Table52[[#This Row],[2021]]/C156</f>
        <v>1.9366306776132411E-3</v>
      </c>
      <c r="G71" s="16" t="s">
        <v>1867</v>
      </c>
      <c r="H71" s="17">
        <v>64705</v>
      </c>
      <c r="I71" s="80">
        <f>Table53[[#This Row],[BIDEN VOTES]]/C156</f>
        <v>0.2237672999910085</v>
      </c>
      <c r="J71" s="18">
        <v>0.38400000000000001</v>
      </c>
      <c r="K71" s="17">
        <v>100913</v>
      </c>
      <c r="L71" s="80">
        <f>Table53[[#This Row],[TRUMP VOTES]]/C156</f>
        <v>0.34898430637497319</v>
      </c>
      <c r="M71" s="18">
        <v>0.59799999999999998</v>
      </c>
      <c r="N71" s="80">
        <f>1-(Table53[[#This Row],[NbP]]+Table53[[#This Row],[NbP2]])</f>
        <v>0.42724839363401834</v>
      </c>
    </row>
    <row r="72" spans="1:14" ht="20">
      <c r="A72" s="78" t="s">
        <v>1803</v>
      </c>
      <c r="B72" s="78" t="s">
        <v>297</v>
      </c>
      <c r="C72" s="78">
        <v>21</v>
      </c>
      <c r="D72" s="78">
        <f>Table52[[#This Row],[2021]]/C157</f>
        <v>1.6552376448332939E-3</v>
      </c>
      <c r="G72" s="16" t="s">
        <v>1868</v>
      </c>
      <c r="H72" s="17">
        <v>2911</v>
      </c>
      <c r="I72" s="80">
        <f>Table53[[#This Row],[BIDEN VOTES]]/C157</f>
        <v>0.2294474659099866</v>
      </c>
      <c r="J72" s="18">
        <v>0.34899999999999998</v>
      </c>
      <c r="K72" s="17">
        <v>5342</v>
      </c>
      <c r="L72" s="80">
        <f>Table53[[#This Row],[TRUMP VOTES]]/C157</f>
        <v>0.42106092850949789</v>
      </c>
      <c r="M72" s="18">
        <v>0.64</v>
      </c>
      <c r="N72" s="80">
        <f>1-(Table53[[#This Row],[NbP]]+Table53[[#This Row],[NbP2]])</f>
        <v>0.34949160558051551</v>
      </c>
    </row>
    <row r="73" spans="1:14" ht="20">
      <c r="A73" s="78" t="s">
        <v>1804</v>
      </c>
      <c r="B73" s="78" t="s">
        <v>297</v>
      </c>
      <c r="C73" s="78">
        <v>74</v>
      </c>
      <c r="D73" s="78">
        <f>Table52[[#This Row],[2021]]/C158</f>
        <v>3.1010350752210536E-3</v>
      </c>
      <c r="G73" s="16" t="s">
        <v>1869</v>
      </c>
      <c r="H73" s="17">
        <v>5166</v>
      </c>
      <c r="I73" s="80">
        <f>Table53[[#This Row],[BIDEN VOTES]]/C158</f>
        <v>0.21648577295394544</v>
      </c>
      <c r="J73" s="18">
        <v>0.34399999999999997</v>
      </c>
      <c r="K73" s="17">
        <v>9670</v>
      </c>
      <c r="L73" s="80">
        <f>Table53[[#This Row],[TRUMP VOTES]]/C158</f>
        <v>0.40522985374848092</v>
      </c>
      <c r="M73" s="18">
        <v>0.64400000000000002</v>
      </c>
      <c r="N73" s="80">
        <f>1-(Table53[[#This Row],[NbP]]+Table53[[#This Row],[NbP2]])</f>
        <v>0.37828437329757358</v>
      </c>
    </row>
    <row r="74" spans="1:14" ht="20">
      <c r="A74" s="78" t="s">
        <v>1805</v>
      </c>
      <c r="B74" s="78" t="s">
        <v>297</v>
      </c>
      <c r="C74" s="78">
        <v>646</v>
      </c>
      <c r="D74" s="78">
        <f>Table52[[#This Row],[2021]]/C159</f>
        <v>3.3792620026573761E-3</v>
      </c>
      <c r="G74" s="16" t="s">
        <v>1870</v>
      </c>
      <c r="H74" s="17">
        <v>51088</v>
      </c>
      <c r="I74" s="80">
        <f>Table53[[#This Row],[BIDEN VOTES]]/C159</f>
        <v>0.26724417521944277</v>
      </c>
      <c r="J74" s="18">
        <v>0.49399999999999999</v>
      </c>
      <c r="K74" s="17">
        <v>50785</v>
      </c>
      <c r="L74" s="80">
        <f>Table53[[#This Row],[TRUMP VOTES]]/C159</f>
        <v>0.26565916533274747</v>
      </c>
      <c r="M74" s="18">
        <v>0.49099999999999999</v>
      </c>
      <c r="N74" s="80">
        <f>1-(Table53[[#This Row],[NbP]]+Table53[[#This Row],[NbP2]])</f>
        <v>0.46709665944780976</v>
      </c>
    </row>
    <row r="75" spans="1:14" ht="20">
      <c r="A75" s="78" t="s">
        <v>1806</v>
      </c>
      <c r="B75" s="78" t="s">
        <v>297</v>
      </c>
      <c r="C75" s="78">
        <v>583</v>
      </c>
      <c r="D75" s="78">
        <f>Table52[[#This Row],[2021]]/C160</f>
        <v>1.4157701741178755E-2</v>
      </c>
      <c r="G75" s="16" t="s">
        <v>1871</v>
      </c>
      <c r="H75" s="17">
        <v>5966</v>
      </c>
      <c r="I75" s="80">
        <f>Table53[[#This Row],[BIDEN VOTES]]/C160</f>
        <v>0.14487967167731125</v>
      </c>
      <c r="J75" s="18">
        <v>0.26600000000000001</v>
      </c>
      <c r="K75" s="17">
        <v>16194</v>
      </c>
      <c r="L75" s="80">
        <f>Table53[[#This Row],[TRUMP VOTES]]/C160</f>
        <v>0.39325869982272516</v>
      </c>
      <c r="M75" s="18">
        <v>0.72099999999999997</v>
      </c>
      <c r="N75" s="80">
        <f>1-(Table53[[#This Row],[NbP]]+Table53[[#This Row],[NbP2]])</f>
        <v>0.46186162849996359</v>
      </c>
    </row>
    <row r="76" spans="1:14" ht="20">
      <c r="A76" s="78" t="s">
        <v>1807</v>
      </c>
      <c r="B76" s="78" t="s">
        <v>297</v>
      </c>
      <c r="C76" s="78">
        <v>214</v>
      </c>
      <c r="D76" s="78">
        <f>Table52[[#This Row],[2021]]/C161</f>
        <v>2.6646743867513385E-2</v>
      </c>
      <c r="G76" s="16" t="s">
        <v>1872</v>
      </c>
      <c r="H76" s="17">
        <v>1589</v>
      </c>
      <c r="I76" s="80">
        <f>Table53[[#This Row],[BIDEN VOTES]]/C161</f>
        <v>0.19785829909102229</v>
      </c>
      <c r="J76" s="18">
        <v>0.33500000000000002</v>
      </c>
      <c r="K76" s="17">
        <v>3090</v>
      </c>
      <c r="L76" s="80">
        <f>Table53[[#This Row],[TRUMP VOTES]]/C161</f>
        <v>0.38475905864774002</v>
      </c>
      <c r="M76" s="18">
        <v>0.65100000000000002</v>
      </c>
      <c r="N76" s="80">
        <f>1-(Table53[[#This Row],[NbP]]+Table53[[#This Row],[NbP2]])</f>
        <v>0.41738264226123767</v>
      </c>
    </row>
    <row r="77" spans="1:14" ht="20">
      <c r="A77" s="78" t="s">
        <v>1808</v>
      </c>
      <c r="B77" s="78" t="s">
        <v>297</v>
      </c>
      <c r="C77" s="78">
        <v>216</v>
      </c>
      <c r="D77" s="78">
        <f>Table52[[#This Row],[2021]]/C162</f>
        <v>3.1682703590706408E-3</v>
      </c>
      <c r="G77" s="16" t="s">
        <v>1873</v>
      </c>
      <c r="H77" s="17">
        <v>15347</v>
      </c>
      <c r="I77" s="80">
        <f>Table53[[#This Row],[BIDEN VOTES]]/C162</f>
        <v>0.22510854259563481</v>
      </c>
      <c r="J77" s="18">
        <v>0.39100000000000001</v>
      </c>
      <c r="K77" s="17">
        <v>23149</v>
      </c>
      <c r="L77" s="80">
        <f>Table53[[#This Row],[TRUMP VOTES]]/C162</f>
        <v>0.33954764139873267</v>
      </c>
      <c r="M77" s="18">
        <v>0.59</v>
      </c>
      <c r="N77" s="80">
        <f>1-(Table53[[#This Row],[NbP]]+Table53[[#This Row],[NbP2]])</f>
        <v>0.43534381600563254</v>
      </c>
    </row>
    <row r="78" spans="1:14" ht="20">
      <c r="A78" s="78" t="s">
        <v>1809</v>
      </c>
      <c r="B78" s="78" t="s">
        <v>297</v>
      </c>
      <c r="C78" s="78">
        <v>37</v>
      </c>
      <c r="D78" s="78">
        <f>Table52[[#This Row],[2021]]/C163</f>
        <v>2.3228803716608595E-4</v>
      </c>
      <c r="G78" s="16" t="s">
        <v>947</v>
      </c>
      <c r="H78" s="17">
        <v>31363</v>
      </c>
      <c r="I78" s="80">
        <f>Table53[[#This Row],[BIDEN VOTES]]/C163</f>
        <v>0.19689864080107983</v>
      </c>
      <c r="J78" s="18">
        <v>0.34100000000000003</v>
      </c>
      <c r="K78" s="17">
        <v>59185</v>
      </c>
      <c r="L78" s="80">
        <f>Table53[[#This Row],[TRUMP VOTES]]/C163</f>
        <v>0.37156668863985937</v>
      </c>
      <c r="M78" s="18">
        <v>0.64300000000000002</v>
      </c>
      <c r="N78" s="80">
        <f>1-(Table53[[#This Row],[NbP]]+Table53[[#This Row],[NbP2]])</f>
        <v>0.43153467055906081</v>
      </c>
    </row>
    <row r="79" spans="1:14" ht="20">
      <c r="A79" s="78" t="s">
        <v>1810</v>
      </c>
      <c r="B79" s="78" t="s">
        <v>297</v>
      </c>
      <c r="C79" s="78">
        <v>186</v>
      </c>
      <c r="D79" s="78">
        <f>Table52[[#This Row],[2021]]/C164</f>
        <v>3.059764102057938E-3</v>
      </c>
      <c r="G79" s="16" t="s">
        <v>1476</v>
      </c>
      <c r="H79" s="17">
        <v>9262</v>
      </c>
      <c r="I79" s="80">
        <f>Table53[[#This Row],[BIDEN VOTES]]/C164</f>
        <v>0.15236309200677753</v>
      </c>
      <c r="J79" s="18">
        <v>0.33200000000000002</v>
      </c>
      <c r="K79" s="17">
        <v>18127</v>
      </c>
      <c r="L79" s="80">
        <f>Table53[[#This Row],[TRUMP VOTES]]/C164</f>
        <v>0.29819539719357119</v>
      </c>
      <c r="M79" s="18">
        <v>0.64900000000000002</v>
      </c>
      <c r="N79" s="80">
        <f>1-(Table53[[#This Row],[NbP]]+Table53[[#This Row],[NbP2]])</f>
        <v>0.54944151079965131</v>
      </c>
    </row>
    <row r="80" spans="1:14" ht="20">
      <c r="A80" s="78" t="s">
        <v>1811</v>
      </c>
      <c r="B80" s="78" t="s">
        <v>297</v>
      </c>
      <c r="C80" s="78">
        <v>113</v>
      </c>
      <c r="D80" s="78">
        <f>Table52[[#This Row],[2021]]/C165</f>
        <v>2.144904428373479E-3</v>
      </c>
      <c r="G80" s="16" t="s">
        <v>1874</v>
      </c>
      <c r="H80" s="17">
        <v>8712</v>
      </c>
      <c r="I80" s="80">
        <f>Table53[[#This Row],[BIDEN VOTES]]/C165</f>
        <v>0.16536643699105974</v>
      </c>
      <c r="J80" s="18">
        <v>0.29599999999999999</v>
      </c>
      <c r="K80" s="17">
        <v>20297</v>
      </c>
      <c r="L80" s="80">
        <f>Table53[[#This Row],[TRUMP VOTES]]/C165</f>
        <v>0.38526659453713724</v>
      </c>
      <c r="M80" s="18">
        <v>0.68899999999999995</v>
      </c>
      <c r="N80" s="80">
        <f>1-(Table53[[#This Row],[NbP]]+Table53[[#This Row],[NbP2]])</f>
        <v>0.44936696847180302</v>
      </c>
    </row>
    <row r="81" spans="1:14" ht="20">
      <c r="A81" s="78" t="s">
        <v>158</v>
      </c>
      <c r="B81" s="78" t="s">
        <v>297</v>
      </c>
      <c r="C81" s="78">
        <v>212</v>
      </c>
      <c r="D81" s="78">
        <f>Table52[[#This Row],[2021]]/C166</f>
        <v>2.8110745730348997E-3</v>
      </c>
      <c r="G81" s="16" t="s">
        <v>256</v>
      </c>
      <c r="H81" s="17">
        <v>16803</v>
      </c>
      <c r="I81" s="80">
        <f>Table53[[#This Row],[BIDEN VOTES]]/C166</f>
        <v>0.22280417948445952</v>
      </c>
      <c r="J81" s="18">
        <v>0.43</v>
      </c>
      <c r="K81" s="17">
        <v>21591</v>
      </c>
      <c r="L81" s="80">
        <f>Table53[[#This Row],[TRUMP VOTES]]/C166</f>
        <v>0.28629203352073829</v>
      </c>
      <c r="M81" s="18">
        <v>0.55300000000000005</v>
      </c>
      <c r="N81" s="80">
        <f>1-(Table53[[#This Row],[NbP]]+Table53[[#This Row],[NbP2]])</f>
        <v>0.49090378699480219</v>
      </c>
    </row>
    <row r="82" spans="1:14" ht="20">
      <c r="A82" s="78" t="s">
        <v>1812</v>
      </c>
      <c r="B82" s="78" t="s">
        <v>297</v>
      </c>
      <c r="C82" s="78">
        <v>507</v>
      </c>
      <c r="D82" s="78">
        <f>Table52[[#This Row],[2021]]/C167</f>
        <v>1.3762775357302822E-3</v>
      </c>
      <c r="G82" s="16" t="s">
        <v>1875</v>
      </c>
      <c r="H82" s="17">
        <v>157136</v>
      </c>
      <c r="I82" s="80">
        <f>Table53[[#This Row],[BIDEN VOTES]]/C167</f>
        <v>0.42655374133040164</v>
      </c>
      <c r="J82" s="18">
        <v>0.72699999999999998</v>
      </c>
      <c r="K82" s="17">
        <v>56241</v>
      </c>
      <c r="L82" s="80">
        <f>Table53[[#This Row],[TRUMP VOTES]]/C167</f>
        <v>0.15266908261737042</v>
      </c>
      <c r="M82" s="18">
        <v>0.26</v>
      </c>
      <c r="N82" s="80">
        <f>1-(Table53[[#This Row],[NbP]]+Table53[[#This Row],[NbP2]])</f>
        <v>0.42077717605222797</v>
      </c>
    </row>
    <row r="83" spans="1:14" ht="20">
      <c r="A83" s="78" t="s">
        <v>160</v>
      </c>
      <c r="B83" s="78" t="s">
        <v>297</v>
      </c>
      <c r="C83" s="94">
        <v>5456</v>
      </c>
      <c r="D83" s="78">
        <f>Table52[[#This Row],[2021]]/C168</f>
        <v>3.112274030708607E-3</v>
      </c>
      <c r="G83" s="16" t="s">
        <v>259</v>
      </c>
      <c r="H83" s="17">
        <v>597170</v>
      </c>
      <c r="I83" s="80">
        <f>Table53[[#This Row],[BIDEN VOTES]]/C168</f>
        <v>0.34064455332079524</v>
      </c>
      <c r="J83" s="18">
        <v>0.68500000000000005</v>
      </c>
      <c r="K83" s="17">
        <v>264553</v>
      </c>
      <c r="L83" s="80">
        <f>Table53[[#This Row],[TRUMP VOTES]]/C168</f>
        <v>0.15090935330756125</v>
      </c>
      <c r="M83" s="18">
        <v>0.30299999999999999</v>
      </c>
      <c r="N83" s="80">
        <f>1-(Table53[[#This Row],[NbP]]+Table53[[#This Row],[NbP2]])</f>
        <v>0.50844609337164348</v>
      </c>
    </row>
    <row r="84" spans="1:14" ht="20">
      <c r="A84" s="78" t="s">
        <v>1813</v>
      </c>
      <c r="B84" s="78" t="s">
        <v>297</v>
      </c>
      <c r="C84" s="78">
        <v>211</v>
      </c>
      <c r="D84" s="78">
        <f>Table52[[#This Row],[2021]]/C169</f>
        <v>6.3111297221308286E-3</v>
      </c>
      <c r="G84" s="16" t="s">
        <v>1876</v>
      </c>
      <c r="H84" s="17">
        <v>5838</v>
      </c>
      <c r="I84" s="80">
        <f>Table53[[#This Row],[BIDEN VOTES]]/C169</f>
        <v>0.17461789250142076</v>
      </c>
      <c r="J84" s="18">
        <v>0.32</v>
      </c>
      <c r="K84" s="17">
        <v>12102</v>
      </c>
      <c r="L84" s="80">
        <f>Table53[[#This Row],[TRUMP VOTES]]/C169</f>
        <v>0.36197768671671704</v>
      </c>
      <c r="M84" s="18">
        <v>0.66300000000000003</v>
      </c>
      <c r="N84" s="80">
        <f>1-(Table53[[#This Row],[NbP]]+Table53[[#This Row],[NbP2]])</f>
        <v>0.46340442078186217</v>
      </c>
    </row>
    <row r="86" spans="1:14" ht="21">
      <c r="A86" s="77" t="s">
        <v>1670</v>
      </c>
      <c r="B86" s="77" t="s">
        <v>69</v>
      </c>
      <c r="C86" s="77" t="s">
        <v>54</v>
      </c>
    </row>
    <row r="87" spans="1:14" ht="21">
      <c r="A87" s="52">
        <v>75</v>
      </c>
      <c r="B87" s="53" t="s">
        <v>1814</v>
      </c>
      <c r="C87" s="54">
        <v>10396</v>
      </c>
    </row>
    <row r="88" spans="1:14" ht="21">
      <c r="A88" s="52">
        <v>77</v>
      </c>
      <c r="B88" s="53" t="s">
        <v>1815</v>
      </c>
      <c r="C88" s="54">
        <v>9098</v>
      </c>
    </row>
    <row r="89" spans="1:14" ht="21">
      <c r="A89" s="52">
        <v>18</v>
      </c>
      <c r="B89" s="53" t="s">
        <v>1816</v>
      </c>
      <c r="C89" s="54">
        <v>117104</v>
      </c>
    </row>
    <row r="90" spans="1:14" ht="21">
      <c r="A90" s="52">
        <v>50</v>
      </c>
      <c r="B90" s="53" t="s">
        <v>1817</v>
      </c>
      <c r="C90" s="54">
        <v>28431</v>
      </c>
    </row>
    <row r="91" spans="1:14" ht="21">
      <c r="A91" s="52">
        <v>61</v>
      </c>
      <c r="B91" s="53" t="s">
        <v>1818</v>
      </c>
      <c r="C91" s="54">
        <v>23301</v>
      </c>
    </row>
    <row r="92" spans="1:14" ht="21">
      <c r="A92" s="52">
        <v>68</v>
      </c>
      <c r="B92" s="53" t="s">
        <v>1819</v>
      </c>
      <c r="C92" s="54">
        <v>15013</v>
      </c>
    </row>
    <row r="93" spans="1:14" ht="21">
      <c r="A93" s="52">
        <v>78</v>
      </c>
      <c r="B93" s="53" t="s">
        <v>1820</v>
      </c>
      <c r="C93" s="54">
        <v>8337</v>
      </c>
    </row>
    <row r="94" spans="1:14" ht="21">
      <c r="A94" s="52">
        <v>32</v>
      </c>
      <c r="B94" s="53" t="s">
        <v>1821</v>
      </c>
      <c r="C94" s="54">
        <v>61045</v>
      </c>
    </row>
    <row r="95" spans="1:14" ht="21">
      <c r="A95" s="52">
        <v>20</v>
      </c>
      <c r="B95" s="53" t="s">
        <v>1822</v>
      </c>
      <c r="C95" s="54">
        <v>103506</v>
      </c>
    </row>
    <row r="96" spans="1:14" ht="21">
      <c r="A96" s="52">
        <v>66</v>
      </c>
      <c r="B96" s="53" t="s">
        <v>1823</v>
      </c>
      <c r="C96" s="54">
        <v>17703</v>
      </c>
    </row>
    <row r="97" spans="1:3" ht="21">
      <c r="A97" s="52">
        <v>15</v>
      </c>
      <c r="B97" s="53" t="s">
        <v>1312</v>
      </c>
      <c r="C97" s="54">
        <v>153797</v>
      </c>
    </row>
    <row r="98" spans="1:3" ht="21">
      <c r="A98" s="52">
        <v>39</v>
      </c>
      <c r="B98" s="53" t="s">
        <v>1824</v>
      </c>
      <c r="C98" s="54">
        <v>43428</v>
      </c>
    </row>
    <row r="99" spans="1:3" ht="21">
      <c r="A99" s="52">
        <v>17</v>
      </c>
      <c r="B99" s="53" t="s">
        <v>358</v>
      </c>
      <c r="C99" s="54">
        <v>133943</v>
      </c>
    </row>
    <row r="100" spans="1:3" ht="21">
      <c r="A100" s="52">
        <v>35</v>
      </c>
      <c r="B100" s="53" t="s">
        <v>363</v>
      </c>
      <c r="C100" s="54">
        <v>51613</v>
      </c>
    </row>
    <row r="101" spans="1:3" ht="21">
      <c r="A101" s="52">
        <v>52</v>
      </c>
      <c r="B101" s="53" t="s">
        <v>1825</v>
      </c>
      <c r="C101" s="54">
        <v>26197</v>
      </c>
    </row>
    <row r="102" spans="1:3" ht="21">
      <c r="A102" s="52">
        <v>53</v>
      </c>
      <c r="B102" s="53" t="s">
        <v>1826</v>
      </c>
      <c r="C102" s="54">
        <v>25435</v>
      </c>
    </row>
    <row r="103" spans="1:3" ht="21">
      <c r="A103" s="52">
        <v>42</v>
      </c>
      <c r="B103" s="53" t="s">
        <v>1827</v>
      </c>
      <c r="C103" s="54">
        <v>37418</v>
      </c>
    </row>
    <row r="104" spans="1:3" ht="21">
      <c r="A104" s="52">
        <v>48</v>
      </c>
      <c r="B104" s="53" t="s">
        <v>1828</v>
      </c>
      <c r="C104" s="54">
        <v>30655</v>
      </c>
    </row>
    <row r="105" spans="1:3" ht="21">
      <c r="A105" s="52">
        <v>25</v>
      </c>
      <c r="B105" s="53" t="s">
        <v>1405</v>
      </c>
      <c r="C105" s="54">
        <v>78957</v>
      </c>
    </row>
    <row r="106" spans="1:3" ht="21">
      <c r="A106" s="52">
        <v>70</v>
      </c>
      <c r="B106" s="53" t="s">
        <v>1331</v>
      </c>
      <c r="C106" s="54">
        <v>13904</v>
      </c>
    </row>
    <row r="107" spans="1:3" ht="21">
      <c r="A107" s="52">
        <v>44</v>
      </c>
      <c r="B107" s="53" t="s">
        <v>387</v>
      </c>
      <c r="C107" s="54">
        <v>35874</v>
      </c>
    </row>
    <row r="108" spans="1:3" ht="21">
      <c r="A108" s="52">
        <v>54</v>
      </c>
      <c r="B108" s="53" t="s">
        <v>1544</v>
      </c>
      <c r="C108" s="54">
        <v>25373</v>
      </c>
    </row>
    <row r="109" spans="1:3" ht="21">
      <c r="A109" s="52">
        <v>19</v>
      </c>
      <c r="B109" s="53" t="s">
        <v>1829</v>
      </c>
      <c r="C109" s="54">
        <v>109730</v>
      </c>
    </row>
    <row r="110" spans="1:3" ht="21">
      <c r="A110" s="52">
        <v>46</v>
      </c>
      <c r="B110" s="53" t="s">
        <v>1546</v>
      </c>
      <c r="C110" s="54">
        <v>33175</v>
      </c>
    </row>
    <row r="111" spans="1:3" ht="21">
      <c r="A111" s="52">
        <v>5</v>
      </c>
      <c r="B111" s="53" t="s">
        <v>1830</v>
      </c>
      <c r="C111" s="54">
        <v>406770</v>
      </c>
    </row>
    <row r="112" spans="1:3" ht="21">
      <c r="A112" s="52">
        <v>55</v>
      </c>
      <c r="B112" s="53" t="s">
        <v>1831</v>
      </c>
      <c r="C112" s="54">
        <v>25312</v>
      </c>
    </row>
    <row r="113" spans="1:3" ht="21">
      <c r="A113" s="52">
        <v>69</v>
      </c>
      <c r="B113" s="53" t="s">
        <v>1832</v>
      </c>
      <c r="C113" s="54">
        <v>14715</v>
      </c>
    </row>
    <row r="114" spans="1:3" ht="21">
      <c r="A114" s="52">
        <v>22</v>
      </c>
      <c r="B114" s="53" t="s">
        <v>1833</v>
      </c>
      <c r="C114" s="54">
        <v>92640</v>
      </c>
    </row>
    <row r="115" spans="1:3" ht="21">
      <c r="A115" s="52">
        <v>41</v>
      </c>
      <c r="B115" s="53" t="s">
        <v>1834</v>
      </c>
      <c r="C115" s="54">
        <v>40692</v>
      </c>
    </row>
    <row r="116" spans="1:3" ht="21">
      <c r="A116" s="52">
        <v>37</v>
      </c>
      <c r="B116" s="53" t="s">
        <v>1835</v>
      </c>
      <c r="C116" s="54">
        <v>45707</v>
      </c>
    </row>
    <row r="117" spans="1:3" ht="21">
      <c r="A117" s="52">
        <v>43</v>
      </c>
      <c r="B117" s="53" t="s">
        <v>1836</v>
      </c>
      <c r="C117" s="54">
        <v>35890</v>
      </c>
    </row>
    <row r="118" spans="1:3" ht="21">
      <c r="A118" s="52">
        <v>47</v>
      </c>
      <c r="B118" s="53" t="s">
        <v>1837</v>
      </c>
      <c r="C118" s="54">
        <v>31105</v>
      </c>
    </row>
    <row r="119" spans="1:3" ht="21">
      <c r="A119" s="52">
        <v>7</v>
      </c>
      <c r="B119" s="53" t="s">
        <v>1838</v>
      </c>
      <c r="C119" s="54">
        <v>290923</v>
      </c>
    </row>
    <row r="120" spans="1:3" ht="21">
      <c r="A120" s="52">
        <v>30</v>
      </c>
      <c r="B120" s="53" t="s">
        <v>1839</v>
      </c>
      <c r="C120" s="54">
        <v>64401</v>
      </c>
    </row>
    <row r="121" spans="1:3" ht="21">
      <c r="A121" s="52">
        <v>56</v>
      </c>
      <c r="B121" s="53" t="s">
        <v>1840</v>
      </c>
      <c r="C121" s="54">
        <v>25213</v>
      </c>
    </row>
    <row r="122" spans="1:3" ht="21">
      <c r="A122" s="52">
        <v>73</v>
      </c>
      <c r="B122" s="53" t="s">
        <v>1841</v>
      </c>
      <c r="C122" s="54">
        <v>11099</v>
      </c>
    </row>
    <row r="123" spans="1:3" ht="21">
      <c r="A123" s="52">
        <v>27</v>
      </c>
      <c r="B123" s="53" t="s">
        <v>1842</v>
      </c>
      <c r="C123" s="54">
        <v>70363</v>
      </c>
    </row>
    <row r="124" spans="1:3" ht="21">
      <c r="A124" s="52">
        <v>14</v>
      </c>
      <c r="B124" s="53" t="s">
        <v>213</v>
      </c>
      <c r="C124" s="54">
        <v>158174</v>
      </c>
    </row>
    <row r="125" spans="1:3" ht="21">
      <c r="A125" s="52">
        <v>9</v>
      </c>
      <c r="B125" s="53" t="s">
        <v>1843</v>
      </c>
      <c r="C125" s="54">
        <v>264322</v>
      </c>
    </row>
    <row r="126" spans="1:3" ht="21">
      <c r="A126" s="52">
        <v>65</v>
      </c>
      <c r="B126" s="53" t="s">
        <v>1844</v>
      </c>
      <c r="C126" s="54">
        <v>17725</v>
      </c>
    </row>
    <row r="127" spans="1:3" ht="21">
      <c r="A127" s="52">
        <v>4</v>
      </c>
      <c r="B127" s="53" t="s">
        <v>449</v>
      </c>
      <c r="C127" s="54">
        <v>652617</v>
      </c>
    </row>
    <row r="128" spans="1:3" ht="21">
      <c r="A128" s="52">
        <v>83</v>
      </c>
      <c r="B128" s="53" t="s">
        <v>1845</v>
      </c>
      <c r="C128" s="54">
        <v>2102</v>
      </c>
    </row>
    <row r="129" spans="1:3" ht="21">
      <c r="A129" s="52">
        <v>72</v>
      </c>
      <c r="B129" s="53" t="s">
        <v>217</v>
      </c>
      <c r="C129" s="54">
        <v>11805</v>
      </c>
    </row>
    <row r="130" spans="1:3" ht="21">
      <c r="A130" s="52">
        <v>23</v>
      </c>
      <c r="B130" s="53" t="s">
        <v>1846</v>
      </c>
      <c r="C130" s="54">
        <v>87975</v>
      </c>
    </row>
    <row r="131" spans="1:3" ht="21">
      <c r="A131" s="52">
        <v>63</v>
      </c>
      <c r="B131" s="53" t="s">
        <v>1847</v>
      </c>
      <c r="C131" s="54">
        <v>21649</v>
      </c>
    </row>
    <row r="132" spans="1:3" ht="21">
      <c r="A132" s="52">
        <v>21</v>
      </c>
      <c r="B132" s="53" t="s">
        <v>1848</v>
      </c>
      <c r="C132" s="54">
        <v>98310</v>
      </c>
    </row>
    <row r="133" spans="1:3" ht="21">
      <c r="A133" s="52">
        <v>11</v>
      </c>
      <c r="B133" s="53" t="s">
        <v>1407</v>
      </c>
      <c r="C133" s="54">
        <v>190832</v>
      </c>
    </row>
    <row r="134" spans="1:3" ht="21">
      <c r="A134" s="52">
        <v>81</v>
      </c>
      <c r="B134" s="53" t="s">
        <v>1849</v>
      </c>
      <c r="C134" s="54">
        <v>6286</v>
      </c>
    </row>
    <row r="135" spans="1:3" ht="21">
      <c r="A135" s="52">
        <v>74</v>
      </c>
      <c r="B135" s="53" t="s">
        <v>1850</v>
      </c>
      <c r="C135" s="54">
        <v>10781</v>
      </c>
    </row>
    <row r="136" spans="1:3" ht="21">
      <c r="A136" s="52">
        <v>3</v>
      </c>
      <c r="B136" s="53" t="s">
        <v>1851</v>
      </c>
      <c r="C136" s="54">
        <v>870893</v>
      </c>
    </row>
    <row r="137" spans="1:3" ht="21">
      <c r="A137" s="52">
        <v>58</v>
      </c>
      <c r="B137" s="53" t="s">
        <v>1852</v>
      </c>
      <c r="C137" s="54">
        <v>24539</v>
      </c>
    </row>
    <row r="138" spans="1:3" ht="21">
      <c r="A138" s="52">
        <v>29</v>
      </c>
      <c r="B138" s="53" t="s">
        <v>1853</v>
      </c>
      <c r="C138" s="54">
        <v>66403</v>
      </c>
    </row>
    <row r="139" spans="1:3" ht="21">
      <c r="A139" s="52">
        <v>49</v>
      </c>
      <c r="B139" s="53" t="s">
        <v>470</v>
      </c>
      <c r="C139" s="54">
        <v>29062</v>
      </c>
    </row>
    <row r="140" spans="1:3" ht="21">
      <c r="A140" s="52">
        <v>38</v>
      </c>
      <c r="B140" s="53" t="s">
        <v>1854</v>
      </c>
      <c r="C140" s="54">
        <v>43481</v>
      </c>
    </row>
    <row r="141" spans="1:3" ht="21">
      <c r="A141" s="52">
        <v>62</v>
      </c>
      <c r="B141" s="53" t="s">
        <v>1855</v>
      </c>
      <c r="C141" s="54">
        <v>22902</v>
      </c>
    </row>
    <row r="142" spans="1:3" ht="21">
      <c r="A142" s="52">
        <v>24</v>
      </c>
      <c r="B142" s="53" t="s">
        <v>478</v>
      </c>
      <c r="C142" s="54">
        <v>83445</v>
      </c>
    </row>
    <row r="143" spans="1:3" ht="21">
      <c r="A143" s="52">
        <v>67</v>
      </c>
      <c r="B143" s="53" t="s">
        <v>1856</v>
      </c>
      <c r="C143" s="54">
        <v>15075</v>
      </c>
    </row>
    <row r="144" spans="1:3" ht="21">
      <c r="A144" s="52">
        <v>16</v>
      </c>
      <c r="B144" s="53" t="s">
        <v>231</v>
      </c>
      <c r="C144" s="54">
        <v>150000</v>
      </c>
    </row>
    <row r="145" spans="1:3" ht="21">
      <c r="A145" s="52">
        <v>31</v>
      </c>
      <c r="B145" s="53" t="s">
        <v>1857</v>
      </c>
      <c r="C145" s="54">
        <v>63516</v>
      </c>
    </row>
    <row r="146" spans="1:3" ht="21">
      <c r="A146" s="52">
        <v>76</v>
      </c>
      <c r="B146" s="53" t="s">
        <v>1858</v>
      </c>
      <c r="C146" s="54">
        <v>9270</v>
      </c>
    </row>
    <row r="147" spans="1:3" ht="21">
      <c r="A147" s="52">
        <v>12</v>
      </c>
      <c r="B147" s="53" t="s">
        <v>1859</v>
      </c>
      <c r="C147" s="54">
        <v>173679</v>
      </c>
    </row>
    <row r="148" spans="1:3" ht="21">
      <c r="A148" s="52">
        <v>36</v>
      </c>
      <c r="B148" s="53" t="s">
        <v>1860</v>
      </c>
      <c r="C148" s="54">
        <v>48687</v>
      </c>
    </row>
    <row r="149" spans="1:3" ht="21">
      <c r="A149" s="52">
        <v>2</v>
      </c>
      <c r="B149" s="53" t="s">
        <v>1861</v>
      </c>
      <c r="C149" s="54">
        <v>1255340</v>
      </c>
    </row>
    <row r="150" spans="1:3" ht="21">
      <c r="A150" s="52">
        <v>51</v>
      </c>
      <c r="B150" s="53" t="s">
        <v>1862</v>
      </c>
      <c r="C150" s="54">
        <v>26545</v>
      </c>
    </row>
    <row r="151" spans="1:3" ht="21">
      <c r="A151" s="52">
        <v>64</v>
      </c>
      <c r="B151" s="53" t="s">
        <v>1863</v>
      </c>
      <c r="C151" s="54">
        <v>20895</v>
      </c>
    </row>
    <row r="152" spans="1:3" ht="21">
      <c r="A152" s="52">
        <v>82</v>
      </c>
      <c r="B152" s="53" t="s">
        <v>1864</v>
      </c>
      <c r="C152" s="54">
        <v>5802</v>
      </c>
    </row>
    <row r="153" spans="1:3" ht="21">
      <c r="A153" s="52">
        <v>60</v>
      </c>
      <c r="B153" s="53" t="s">
        <v>1559</v>
      </c>
      <c r="C153" s="54">
        <v>23323</v>
      </c>
    </row>
    <row r="154" spans="1:3" ht="21">
      <c r="A154" s="52">
        <v>79</v>
      </c>
      <c r="B154" s="53" t="s">
        <v>1865</v>
      </c>
      <c r="C154" s="54">
        <v>8282</v>
      </c>
    </row>
    <row r="155" spans="1:3" ht="21">
      <c r="A155" s="52">
        <v>57</v>
      </c>
      <c r="B155" s="53" t="s">
        <v>1866</v>
      </c>
      <c r="C155" s="54">
        <v>24613</v>
      </c>
    </row>
    <row r="156" spans="1:3" ht="21">
      <c r="A156" s="52">
        <v>8</v>
      </c>
      <c r="B156" s="53" t="s">
        <v>1867</v>
      </c>
      <c r="C156" s="54">
        <v>289162</v>
      </c>
    </row>
    <row r="157" spans="1:3" ht="21">
      <c r="A157" s="52">
        <v>71</v>
      </c>
      <c r="B157" s="53" t="s">
        <v>1868</v>
      </c>
      <c r="C157" s="54">
        <v>12687</v>
      </c>
    </row>
    <row r="158" spans="1:3" ht="21">
      <c r="A158" s="52">
        <v>59</v>
      </c>
      <c r="B158" s="53" t="s">
        <v>1869</v>
      </c>
      <c r="C158" s="54">
        <v>23863</v>
      </c>
    </row>
    <row r="159" spans="1:3" ht="21">
      <c r="A159" s="52">
        <v>10</v>
      </c>
      <c r="B159" s="53" t="s">
        <v>1870</v>
      </c>
      <c r="C159" s="54">
        <v>191166</v>
      </c>
    </row>
    <row r="160" spans="1:3" ht="21">
      <c r="A160" s="52">
        <v>40</v>
      </c>
      <c r="B160" s="53" t="s">
        <v>1871</v>
      </c>
      <c r="C160" s="54">
        <v>41179</v>
      </c>
    </row>
    <row r="161" spans="1:3" ht="21">
      <c r="A161" s="52">
        <v>80</v>
      </c>
      <c r="B161" s="53" t="s">
        <v>1872</v>
      </c>
      <c r="C161" s="54">
        <v>8031</v>
      </c>
    </row>
    <row r="162" spans="1:3" ht="21">
      <c r="A162" s="52">
        <v>28</v>
      </c>
      <c r="B162" s="53" t="s">
        <v>1873</v>
      </c>
      <c r="C162" s="54">
        <v>68176</v>
      </c>
    </row>
    <row r="163" spans="1:3" ht="21">
      <c r="A163" s="52">
        <v>13</v>
      </c>
      <c r="B163" s="53" t="s">
        <v>947</v>
      </c>
      <c r="C163" s="54">
        <v>159285</v>
      </c>
    </row>
    <row r="164" spans="1:3" ht="21">
      <c r="A164" s="52">
        <v>33</v>
      </c>
      <c r="B164" s="53" t="s">
        <v>1476</v>
      </c>
      <c r="C164" s="54">
        <v>60789</v>
      </c>
    </row>
    <row r="165" spans="1:3" ht="21">
      <c r="A165" s="52">
        <v>34</v>
      </c>
      <c r="B165" s="53" t="s">
        <v>1874</v>
      </c>
      <c r="C165" s="54">
        <v>52683</v>
      </c>
    </row>
    <row r="166" spans="1:3" ht="21">
      <c r="A166" s="52">
        <v>26</v>
      </c>
      <c r="B166" s="53" t="s">
        <v>256</v>
      </c>
      <c r="C166" s="54">
        <v>75416</v>
      </c>
    </row>
    <row r="167" spans="1:3" ht="21">
      <c r="A167" s="52">
        <v>6</v>
      </c>
      <c r="B167" s="53" t="s">
        <v>1875</v>
      </c>
      <c r="C167" s="54">
        <v>368385</v>
      </c>
    </row>
    <row r="168" spans="1:3" ht="21">
      <c r="A168" s="52">
        <v>1</v>
      </c>
      <c r="B168" s="53" t="s">
        <v>259</v>
      </c>
      <c r="C168" s="54">
        <v>1753059</v>
      </c>
    </row>
    <row r="169" spans="1:3" ht="21">
      <c r="A169" s="52">
        <v>45</v>
      </c>
      <c r="B169" s="53" t="s">
        <v>1876</v>
      </c>
      <c r="C169" s="54">
        <v>33433</v>
      </c>
    </row>
  </sheetData>
  <hyperlinks>
    <hyperlink ref="B168" r:id="rId1" display="https://www.michigan-demographics.com/wayne-county-demographics" xr:uid="{35E4242C-7F38-5142-BB8B-E92E9FDC5C6C}"/>
    <hyperlink ref="B149" r:id="rId2" display="https://www.michigan-demographics.com/oakland-county-demographics" xr:uid="{95681170-8142-B54D-82A8-589C5CC22ED4}"/>
    <hyperlink ref="B136" r:id="rId3" display="https://www.michigan-demographics.com/macomb-county-demographics" xr:uid="{F41FDF94-9457-6D46-A111-2C942AEE34AE}"/>
    <hyperlink ref="B127" r:id="rId4" display="https://www.michigan-demographics.com/kent-county-demographics" xr:uid="{B145644F-869F-EF43-95EA-465EF64AE6B2}"/>
    <hyperlink ref="B111" r:id="rId5" display="https://www.michigan-demographics.com/genesee-county-demographics" xr:uid="{8FF5900D-0071-384F-BB5B-7BB76560AFB0}"/>
    <hyperlink ref="B167" r:id="rId6" display="https://www.michigan-demographics.com/washtenaw-county-demographics" xr:uid="{45BA7FBC-C4E1-DF42-AC18-41DD6DD35C33}"/>
    <hyperlink ref="B119" r:id="rId7" display="https://www.michigan-demographics.com/ingham-county-demographics" xr:uid="{11624F45-DC73-7540-80C3-04AE721E7EA5}"/>
    <hyperlink ref="B156" r:id="rId8" display="https://www.michigan-demographics.com/ottawa-county-demographics" xr:uid="{CDCE68AF-5F1D-D14C-A0D4-0E9FD0A8048C}"/>
    <hyperlink ref="B125" r:id="rId9" display="https://www.michigan-demographics.com/kalamazoo-county-demographics" xr:uid="{0663C01A-210C-084D-ABF5-BD0A302C49F2}"/>
    <hyperlink ref="B159" r:id="rId10" display="https://www.michigan-demographics.com/saginaw-county-demographics" xr:uid="{4FF6BC0E-1DFF-2741-8755-7C9BB7903CB8}"/>
    <hyperlink ref="B133" r:id="rId11" display="https://www.michigan-demographics.com/livingston-county-demographics" xr:uid="{D21E44AC-25FE-0043-A46D-BC68AC022A92}"/>
    <hyperlink ref="B147" r:id="rId12" display="https://www.michigan-demographics.com/muskegon-county-demographics" xr:uid="{35E1987C-BDD9-9D46-A1B7-C860AA9696E6}"/>
    <hyperlink ref="B163" r:id="rId13" display="https://www.michigan-demographics.com/st-clair-county-demographics" xr:uid="{E2A5F171-5135-5246-9B91-AC7FD2F206EC}"/>
    <hyperlink ref="B124" r:id="rId14" display="https://www.michigan-demographics.com/jackson-county-demographics" xr:uid="{8ACA9FDF-0219-844B-983B-796DA3AEC96D}"/>
    <hyperlink ref="B97" r:id="rId15" display="https://www.michigan-demographics.com/berrien-county-demographics" xr:uid="{4903C708-D834-F943-8627-88BB42669733}"/>
    <hyperlink ref="B144" r:id="rId16" display="https://www.michigan-demographics.com/monroe-county-demographics" xr:uid="{48FA5199-6195-624F-9E45-396160CC24F5}"/>
    <hyperlink ref="B99" r:id="rId17" display="https://www.michigan-demographics.com/calhoun-county-demographics" xr:uid="{E6A53691-11AF-9441-A789-480100496B70}"/>
    <hyperlink ref="B89" r:id="rId18" display="https://www.michigan-demographics.com/allegan-county-demographics" xr:uid="{11509772-6EF1-384B-AC3C-D7CD89E356A4}"/>
    <hyperlink ref="B109" r:id="rId19" display="https://www.michigan-demographics.com/eaton-county-demographics" xr:uid="{FE2E3FE0-3502-DE4E-BEB4-5C1FFA7343F6}"/>
    <hyperlink ref="B95" r:id="rId20" display="https://www.michigan-demographics.com/bay-county-demographics" xr:uid="{33D1E4C5-FB47-8442-BE27-DEBF8C30D934}"/>
    <hyperlink ref="B132" r:id="rId21" display="https://www.michigan-demographics.com/lenawee-county-demographics" xr:uid="{49A9F7E2-C488-D241-91EE-CFD8A27F15B9}"/>
    <hyperlink ref="B114" r:id="rId22" display="https://www.michigan-demographics.com/grand-traverse-county-demographics" xr:uid="{D5417668-C8F5-DD47-9C6B-A181A4D1CB3A}"/>
    <hyperlink ref="B130" r:id="rId23" display="https://www.michigan-demographics.com/lapeer-county-demographics" xr:uid="{9CD127EF-B71E-AD48-AB6E-C1D11B105407}"/>
    <hyperlink ref="B142" r:id="rId24" display="https://www.michigan-demographics.com/midland-county-demographics" xr:uid="{98351490-4128-0741-AFDC-BF41572E87B1}"/>
    <hyperlink ref="B105" r:id="rId25" display="https://www.michigan-demographics.com/clinton-county-demographics" xr:uid="{FE65105C-7148-F646-B643-0A76C9EE8EAC}"/>
    <hyperlink ref="B166" r:id="rId26" display="https://www.michigan-demographics.com/van-buren-county-demographics" xr:uid="{31530B7D-C6E5-034B-8B07-9A95EBBBCB17}"/>
    <hyperlink ref="B123" r:id="rId27" display="https://www.michigan-demographics.com/isabella-county-demographics" xr:uid="{7461D1CB-AD56-F24A-8075-F5072AF86E72}"/>
    <hyperlink ref="B162" r:id="rId28" display="https://www.michigan-demographics.com/shiawassee-county-demographics" xr:uid="{C1468A13-D67A-404B-990E-CE14CB3E34E7}"/>
    <hyperlink ref="B138" r:id="rId29" display="https://www.michigan-demographics.com/marquette-county-demographics" xr:uid="{66554AD1-E6C8-3B4F-B096-3685E324DB75}"/>
    <hyperlink ref="B120" r:id="rId30" display="https://www.michigan-demographics.com/ionia-county-demographics" xr:uid="{AD087D46-FE38-5348-806D-9247E4D23B65}"/>
    <hyperlink ref="B145" r:id="rId31" display="https://www.michigan-demographics.com/montcalm-county-demographics" xr:uid="{08C083AF-659F-0C40-B7EE-0FD2757F6BB9}"/>
    <hyperlink ref="B94" r:id="rId32" display="https://www.michigan-demographics.com/barry-county-demographics" xr:uid="{FB4EB534-9258-4F48-B142-355DE38B167A}"/>
    <hyperlink ref="B164" r:id="rId33" display="https://www.michigan-demographics.com/st-joseph-county-demographics" xr:uid="{E21E3801-481C-C54D-8FB5-C5D1883CFC2E}"/>
    <hyperlink ref="B165" r:id="rId34" display="https://www.michigan-demographics.com/tuscola-county-demographics" xr:uid="{C79188C5-5E54-3140-9337-B8966FC3A297}"/>
    <hyperlink ref="B100" r:id="rId35" display="https://www.michigan-demographics.com/cass-county-demographics" xr:uid="{5A1A4E3E-89D2-4940-97F2-6018E153CF94}"/>
    <hyperlink ref="B148" r:id="rId36" display="https://www.michigan-demographics.com/newaygo-county-demographics" xr:uid="{730C63D2-8B88-1944-9096-6167E080A084}"/>
    <hyperlink ref="B116" r:id="rId37" display="https://www.michigan-demographics.com/hillsdale-county-demographics" xr:uid="{0248A0AB-38EA-1F40-89BD-A7FB2B315FE4}"/>
    <hyperlink ref="B140" r:id="rId38" display="https://www.michigan-demographics.com/mecosta-county-demographics" xr:uid="{4472C5CA-5C2D-AC45-964C-EC6663E6E24A}"/>
    <hyperlink ref="B98" r:id="rId39" display="https://www.michigan-demographics.com/branch-county-demographics" xr:uid="{1B959FC5-E61B-B142-8C22-A1D9BF720C53}"/>
    <hyperlink ref="B160" r:id="rId40" display="https://www.michigan-demographics.com/sanilac-county-demographics" xr:uid="{1CBC643D-15AE-A749-BB20-71BCC7F8F598}"/>
    <hyperlink ref="B115" r:id="rId41" display="https://www.michigan-demographics.com/gratiot-county-demographics" xr:uid="{8E592953-D528-BB4A-84CD-41610FF33C7B}"/>
    <hyperlink ref="B103" r:id="rId42" display="https://www.michigan-demographics.com/chippewa-county-demographics" xr:uid="{6A604680-15DA-614D-8C13-98324A198B12}"/>
    <hyperlink ref="B117" r:id="rId43" display="https://www.michigan-demographics.com/houghton-county-demographics" xr:uid="{1B140768-51A6-9B41-B3E7-F91306FFF284}"/>
    <hyperlink ref="B107" r:id="rId44" display="https://www.michigan-demographics.com/delta-county-demographics" xr:uid="{D696DFCD-6631-084D-A336-B043A04AA0D4}"/>
    <hyperlink ref="B169" r:id="rId45" display="https://www.michigan-demographics.com/wexford-county-demographics" xr:uid="{81064C49-1620-A247-8D43-65C350FA5AED}"/>
    <hyperlink ref="B110" r:id="rId46" display="https://www.michigan-demographics.com/emmet-county-demographics" xr:uid="{4DC28750-6988-984D-BE57-19797BAE0AB2}"/>
    <hyperlink ref="B118" r:id="rId47" display="https://www.michigan-demographics.com/huron-county-demographics" xr:uid="{A873ECA3-93AE-BD48-9E3F-F658B7AC09F6}"/>
    <hyperlink ref="B104" r:id="rId48" display="https://www.michigan-demographics.com/clare-county-demographics" xr:uid="{2DE6007C-9E04-FD4D-8987-963AB58F1CBB}"/>
    <hyperlink ref="B139" r:id="rId49" display="https://www.michigan-demographics.com/mason-county-demographics" xr:uid="{24B22F2C-295C-D84B-98BB-6578146F65F7}"/>
    <hyperlink ref="B90" r:id="rId50" display="https://www.michigan-demographics.com/alpena-county-demographics" xr:uid="{51AD804C-FE44-994D-9B04-A77D0538A1A6}"/>
    <hyperlink ref="B150" r:id="rId51" display="https://www.michigan-demographics.com/oceana-county-demographics" xr:uid="{1817564E-6097-724A-8345-B3954BC01B49}"/>
    <hyperlink ref="B101" r:id="rId52" display="https://www.michigan-demographics.com/charlevoix-county-demographics" xr:uid="{07A1751D-28D6-7D41-BB43-34524B40AA4C}"/>
    <hyperlink ref="B102" r:id="rId53" display="https://www.michigan-demographics.com/cheboygan-county-demographics" xr:uid="{E575E624-C67C-E840-85B3-816989A0686B}"/>
    <hyperlink ref="B108" r:id="rId54" display="https://www.michigan-demographics.com/dickinson-county-demographics" xr:uid="{6AEF4F8A-84FC-A041-A139-73804180CC10}"/>
    <hyperlink ref="B112" r:id="rId55" display="https://www.michigan-demographics.com/gladwin-county-demographics" xr:uid="{DB78A015-F69E-6C4C-993C-425ACA7D2A76}"/>
    <hyperlink ref="B121" r:id="rId56" display="https://www.michigan-demographics.com/iosco-county-demographics" xr:uid="{4D13619C-44B8-2942-981C-798CC376F7CD}"/>
    <hyperlink ref="B155" r:id="rId57" display="https://www.michigan-demographics.com/otsego-county-demographics" xr:uid="{0B1163D2-058B-0A42-A183-7AC38F13A5E9}"/>
    <hyperlink ref="B137" r:id="rId58" display="https://www.michigan-demographics.com/manistee-county-demographics" xr:uid="{7B36C6BB-0D14-D64F-9F9D-A9697C8D84E7}"/>
    <hyperlink ref="B158" r:id="rId59" display="https://www.michigan-demographics.com/roscommon-county-demographics" xr:uid="{18467303-122B-1149-A845-EDEF33E4E9A0}"/>
    <hyperlink ref="B153" r:id="rId60" display="https://www.michigan-demographics.com/osceola-county-demographics" xr:uid="{A651B842-66DF-8B4A-9889-873096AA18F9}"/>
    <hyperlink ref="B91" r:id="rId61" display="https://www.michigan-demographics.com/antrim-county-demographics" xr:uid="{675E3FF7-BF36-524A-891F-54F20ABA4A6C}"/>
    <hyperlink ref="B141" r:id="rId62" display="https://www.michigan-demographics.com/menominee-county-demographics" xr:uid="{2D8F1A2F-BABF-B84D-B6BD-9F2A410B5FB2}"/>
    <hyperlink ref="B131" r:id="rId63" display="https://www.michigan-demographics.com/leelanau-county-demographics" xr:uid="{7DB5B1D8-7017-3949-B2CA-2D15C0D8CC74}"/>
    <hyperlink ref="B151" r:id="rId64" display="https://www.michigan-demographics.com/ogemaw-county-demographics" xr:uid="{084900CB-E45B-4F4B-A163-5DE8D57E36D4}"/>
    <hyperlink ref="B126" r:id="rId65" display="https://www.michigan-demographics.com/kalkaska-county-demographics" xr:uid="{D4290858-EBFA-1141-9A7C-33BA9814A365}"/>
    <hyperlink ref="B96" r:id="rId66" display="https://www.michigan-demographics.com/benzie-county-demographics" xr:uid="{F23B88CA-6272-B847-B5E4-0C0B9FCBE472}"/>
    <hyperlink ref="B143" r:id="rId67" display="https://www.michigan-demographics.com/missaukee-county-demographics" xr:uid="{FC9DF543-47E9-D840-B30C-9BD5A1AD5D29}"/>
    <hyperlink ref="B92" r:id="rId68" display="https://www.michigan-demographics.com/arenac-county-demographics" xr:uid="{C78B94A3-6DC8-8743-BF86-B38F58D1978A}"/>
    <hyperlink ref="B113" r:id="rId69" display="https://www.michigan-demographics.com/gogebic-county-demographics" xr:uid="{F897F617-225C-4648-9AC1-B4F3ED8CADDE}"/>
    <hyperlink ref="B106" r:id="rId70" display="https://www.michigan-demographics.com/crawford-county-demographics" xr:uid="{F21C986F-F5E8-5D42-980F-819DF4D70D4A}"/>
    <hyperlink ref="B157" r:id="rId71" display="https://www.michigan-demographics.com/presque-isle-county-demographics" xr:uid="{3E62F34B-5773-7A4A-9A8A-58BDAA6679A1}"/>
    <hyperlink ref="B129" r:id="rId72" display="https://www.michigan-demographics.com/lake-county-demographics" xr:uid="{A8AB7133-075D-5545-8F0B-07BD505E75BD}"/>
    <hyperlink ref="B122" r:id="rId73" display="https://www.michigan-demographics.com/iron-county-demographics" xr:uid="{C0C07ED3-CAF0-9B49-8AA8-0DC30EB8D0AE}"/>
    <hyperlink ref="B135" r:id="rId74" display="https://www.michigan-demographics.com/mackinac-county-demographics" xr:uid="{E649BD43-A814-FE47-AD03-005B1C2ED22B}"/>
    <hyperlink ref="B87" r:id="rId75" display="https://www.michigan-demographics.com/alcona-county-demographics" xr:uid="{321802A4-8DAA-254F-AD29-DA752E8F5DBD}"/>
    <hyperlink ref="B146" r:id="rId76" display="https://www.michigan-demographics.com/montmorency-county-demographics" xr:uid="{DB3166C8-C09E-D544-BB0D-CDD02BF95077}"/>
    <hyperlink ref="B88" r:id="rId77" display="https://www.michigan-demographics.com/alger-county-demographics" xr:uid="{B6251D94-F102-3048-AF17-EEC8F5466AD5}"/>
    <hyperlink ref="B93" r:id="rId78" display="https://www.michigan-demographics.com/baraga-county-demographics" xr:uid="{D5673090-CDB3-E14D-886D-E78D6B5DB93E}"/>
    <hyperlink ref="B154" r:id="rId79" display="https://www.michigan-demographics.com/oscoda-county-demographics" xr:uid="{2658EC1F-EA77-2441-B07E-2DD6F1BFE241}"/>
    <hyperlink ref="B161" r:id="rId80" display="https://www.michigan-demographics.com/schoolcraft-county-demographics" xr:uid="{50628DE6-175C-3D4E-A419-AB3C18379DD9}"/>
    <hyperlink ref="B134" r:id="rId81" display="https://www.michigan-demographics.com/luce-county-demographics" xr:uid="{9608E4F1-D798-7441-9283-484B480176B4}"/>
    <hyperlink ref="B152" r:id="rId82" display="https://www.michigan-demographics.com/ontonagon-county-demographics" xr:uid="{7222B04A-CE64-BC49-92A8-4FD6C4A17BED}"/>
    <hyperlink ref="B128" r:id="rId83" display="https://www.michigan-demographics.com/keweenaw-county-demographics" xr:uid="{B5BD2179-F734-D24B-AE07-19D459724A40}"/>
  </hyperlinks>
  <pageMargins left="0.7" right="0.7" top="0.75" bottom="0.75" header="0.3" footer="0.3"/>
  <tableParts count="3">
    <tablePart r:id="rId84"/>
    <tablePart r:id="rId85"/>
    <tablePart r:id="rId8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2186-8FE3-6F4F-AF0A-01F1125CA84D}">
  <dimension ref="A1:Q177"/>
  <sheetViews>
    <sheetView topLeftCell="A98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ht="21">
      <c r="A1" s="93" t="s">
        <v>64</v>
      </c>
      <c r="B1" s="93" t="s">
        <v>1674</v>
      </c>
      <c r="C1" s="93" t="s">
        <v>1942</v>
      </c>
      <c r="D1" s="93" t="s">
        <v>1677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t="s">
        <v>267</v>
      </c>
      <c r="Q1" t="s">
        <v>328</v>
      </c>
    </row>
    <row r="2" spans="1:17" ht="20">
      <c r="A2" s="78" t="s">
        <v>1877</v>
      </c>
      <c r="B2" s="78" t="s">
        <v>297</v>
      </c>
      <c r="C2" s="78">
        <v>11</v>
      </c>
      <c r="D2" s="78">
        <f>Table55[[#This Row],[2011]]/C91</f>
        <v>6.9505876405914313E-4</v>
      </c>
      <c r="F2" s="16" t="s">
        <v>1943</v>
      </c>
      <c r="G2" s="17">
        <v>3607</v>
      </c>
      <c r="H2" s="80">
        <f>Table56[[#This Row],[BIDEN VOTES]]/C91</f>
        <v>0.22791608745102995</v>
      </c>
      <c r="I2" s="18">
        <v>0.36</v>
      </c>
      <c r="J2" s="17">
        <v>6258</v>
      </c>
      <c r="K2" s="80">
        <f>Table56[[#This Row],[TRUMP VOTES]]/C91</f>
        <v>0.39542524958928343</v>
      </c>
      <c r="L2" s="18">
        <v>0.625</v>
      </c>
      <c r="M2" s="80">
        <f>1-(Table56[[#This Row],[NbP]]+Table56[[#This Row],[NbP2]])</f>
        <v>0.37665866295968664</v>
      </c>
      <c r="O2" t="s">
        <v>1672</v>
      </c>
      <c r="P2">
        <f>CORREL(D:D,H:H)</f>
        <v>-0.10931438739155842</v>
      </c>
      <c r="Q2">
        <v>0.1</v>
      </c>
    </row>
    <row r="3" spans="1:17" ht="20">
      <c r="A3" s="78" t="s">
        <v>1878</v>
      </c>
      <c r="B3" s="78" t="s">
        <v>297</v>
      </c>
      <c r="C3" s="78">
        <v>183</v>
      </c>
      <c r="D3" s="78">
        <f>Table55[[#This Row],[2011]]/C92</f>
        <v>5.1727793088827642E-4</v>
      </c>
      <c r="F3" s="16" t="s">
        <v>1944</v>
      </c>
      <c r="G3" s="17">
        <v>100893</v>
      </c>
      <c r="H3" s="80">
        <f>Table56[[#This Row],[BIDEN VOTES]]/C92</f>
        <v>0.28518973924104302</v>
      </c>
      <c r="I3" s="18">
        <v>0.47899999999999998</v>
      </c>
      <c r="J3" s="17">
        <v>104902</v>
      </c>
      <c r="K3" s="80">
        <f>Table56[[#This Row],[TRUMP VOTES]]/C92</f>
        <v>0.29652180057946437</v>
      </c>
      <c r="L3" s="18">
        <v>0.498</v>
      </c>
      <c r="M3" s="80">
        <f>1-(Table56[[#This Row],[NbP]]+Table56[[#This Row],[NbP2]])</f>
        <v>0.41828846017949262</v>
      </c>
      <c r="O3" t="s">
        <v>1671</v>
      </c>
      <c r="P3">
        <f>CORREL(D:D,K:K)</f>
        <v>3.550006141178659E-2</v>
      </c>
      <c r="Q3" s="1">
        <v>0.1</v>
      </c>
    </row>
    <row r="4" spans="1:17" ht="20">
      <c r="A4" s="78" t="s">
        <v>1879</v>
      </c>
      <c r="B4" s="78" t="s">
        <v>297</v>
      </c>
      <c r="C4" s="78">
        <v>68</v>
      </c>
      <c r="D4" s="78">
        <f>Table55[[#This Row],[2011]]/C93</f>
        <v>1.9867356180792942E-3</v>
      </c>
      <c r="F4" s="16" t="s">
        <v>1945</v>
      </c>
      <c r="G4" s="17">
        <v>6589</v>
      </c>
      <c r="H4" s="80">
        <f>Table56[[#This Row],[BIDEN VOTES]]/C93</f>
        <v>0.19250883805183042</v>
      </c>
      <c r="I4" s="18">
        <v>0.34</v>
      </c>
      <c r="J4" s="17">
        <v>12438</v>
      </c>
      <c r="K4" s="80">
        <f>Table56[[#This Row],[TRUMP VOTES]]/C93</f>
        <v>0.3633973179069156</v>
      </c>
      <c r="L4" s="18">
        <v>0.64300000000000002</v>
      </c>
      <c r="M4" s="80">
        <f>1-(Table56[[#This Row],[NbP]]+Table56[[#This Row],[NbP2]])</f>
        <v>0.44409384404125396</v>
      </c>
      <c r="O4" t="s">
        <v>1679</v>
      </c>
      <c r="P4">
        <f>CORREL(D:D,M:M)</f>
        <v>0.10070394841926454</v>
      </c>
      <c r="Q4" s="1">
        <v>0.1</v>
      </c>
    </row>
    <row r="5" spans="1:17" ht="20">
      <c r="A5" s="78" t="s">
        <v>1880</v>
      </c>
      <c r="B5" s="78" t="s">
        <v>297</v>
      </c>
      <c r="C5" s="78">
        <v>82</v>
      </c>
      <c r="D5" s="78">
        <f>Table55[[#This Row],[2011]]/C94</f>
        <v>1.7527359781121751E-3</v>
      </c>
      <c r="F5" s="16" t="s">
        <v>1946</v>
      </c>
      <c r="G5" s="17">
        <v>11426</v>
      </c>
      <c r="H5" s="80">
        <f>Table56[[#This Row],[BIDEN VOTES]]/C94</f>
        <v>0.24422879616963064</v>
      </c>
      <c r="I5" s="18">
        <v>0.47299999999999998</v>
      </c>
      <c r="J5" s="17">
        <v>12188</v>
      </c>
      <c r="K5" s="80">
        <f>Table56[[#This Row],[TRUMP VOTES]]/C94</f>
        <v>0.26051641586867302</v>
      </c>
      <c r="L5" s="18">
        <v>0.505</v>
      </c>
      <c r="M5" s="80">
        <f>1-(Table56[[#This Row],[NbP]]+Table56[[#This Row],[NbP2]])</f>
        <v>0.49525478796169631</v>
      </c>
    </row>
    <row r="6" spans="1:17" ht="20">
      <c r="A6" s="78" t="s">
        <v>73</v>
      </c>
      <c r="B6" s="78" t="s">
        <v>297</v>
      </c>
      <c r="C6" s="78">
        <v>56</v>
      </c>
      <c r="D6" s="78">
        <f>Table55[[#This Row],[2011]]/C95</f>
        <v>1.3835359225219882E-3</v>
      </c>
      <c r="F6" s="16" t="s">
        <v>172</v>
      </c>
      <c r="G6" s="17">
        <v>7280</v>
      </c>
      <c r="H6" s="80">
        <f>Table56[[#This Row],[BIDEN VOTES]]/C95</f>
        <v>0.17985966992785848</v>
      </c>
      <c r="I6" s="18">
        <v>0.32800000000000001</v>
      </c>
      <c r="J6" s="17">
        <v>14382</v>
      </c>
      <c r="K6" s="80">
        <f>Table56[[#This Row],[TRUMP VOTES]]/C95</f>
        <v>0.35532167210198634</v>
      </c>
      <c r="L6" s="18">
        <v>0.64700000000000002</v>
      </c>
      <c r="M6" s="80">
        <f>1-(Table56[[#This Row],[NbP]]+Table56[[#This Row],[NbP2]])</f>
        <v>0.4648186579701552</v>
      </c>
    </row>
    <row r="7" spans="1:17" ht="20">
      <c r="A7" s="78" t="s">
        <v>1881</v>
      </c>
      <c r="B7" s="78" t="s">
        <v>297</v>
      </c>
      <c r="C7" s="78">
        <v>10</v>
      </c>
      <c r="D7" s="78">
        <f>Table55[[#This Row],[2011]]/C96</f>
        <v>2.0104543626859668E-3</v>
      </c>
      <c r="F7" s="16" t="s">
        <v>1947</v>
      </c>
      <c r="G7" s="17">
        <v>1053</v>
      </c>
      <c r="H7" s="80">
        <f>Table56[[#This Row],[BIDEN VOTES]]/C96</f>
        <v>0.21170084439083234</v>
      </c>
      <c r="I7" s="18">
        <v>0.35499999999999998</v>
      </c>
      <c r="J7" s="17">
        <v>1863</v>
      </c>
      <c r="K7" s="80">
        <f>Table56[[#This Row],[TRUMP VOTES]]/C96</f>
        <v>0.37454764776839566</v>
      </c>
      <c r="L7" s="18">
        <v>0.627</v>
      </c>
      <c r="M7" s="80">
        <f>1-(Table56[[#This Row],[NbP]]+Table56[[#This Row],[NbP2]])</f>
        <v>0.41375150784077197</v>
      </c>
    </row>
    <row r="8" spans="1:17" ht="20">
      <c r="A8" s="78" t="s">
        <v>1882</v>
      </c>
      <c r="B8" s="78" t="s">
        <v>297</v>
      </c>
      <c r="C8" s="78">
        <v>52</v>
      </c>
      <c r="D8" s="78">
        <f>Table55[[#This Row],[2011]]/C97</f>
        <v>7.7187982424890161E-4</v>
      </c>
      <c r="F8" s="16" t="s">
        <v>1948</v>
      </c>
      <c r="G8" s="17">
        <v>18330</v>
      </c>
      <c r="H8" s="80">
        <f>Table56[[#This Row],[BIDEN VOTES]]/C97</f>
        <v>0.27208763804773778</v>
      </c>
      <c r="I8" s="18">
        <v>0.51</v>
      </c>
      <c r="J8" s="17">
        <v>16731</v>
      </c>
      <c r="K8" s="80">
        <f>Table56[[#This Row],[TRUMP VOTES]]/C97</f>
        <v>0.24835233345208407</v>
      </c>
      <c r="L8" s="18">
        <v>0.46500000000000002</v>
      </c>
      <c r="M8" s="80">
        <f>1-(Table56[[#This Row],[NbP]]+Table56[[#This Row],[NbP2]])</f>
        <v>0.4795600285001782</v>
      </c>
    </row>
    <row r="9" spans="1:17" ht="20">
      <c r="A9" s="78" t="s">
        <v>582</v>
      </c>
      <c r="B9" s="78" t="s">
        <v>297</v>
      </c>
      <c r="C9" s="78">
        <v>21</v>
      </c>
      <c r="D9" s="78">
        <f>Table55[[#This Row],[2011]]/C98</f>
        <v>8.3745413941617485E-4</v>
      </c>
      <c r="F9" s="16" t="s">
        <v>354</v>
      </c>
      <c r="G9" s="17">
        <v>4753</v>
      </c>
      <c r="H9" s="80">
        <f>Table56[[#This Row],[BIDEN VOTES]]/C98</f>
        <v>0.18954378688786092</v>
      </c>
      <c r="I9" s="18">
        <v>0.32600000000000001</v>
      </c>
      <c r="J9" s="17">
        <v>9552</v>
      </c>
      <c r="K9" s="80">
        <f>Table56[[#This Row],[TRUMP VOTES]]/C98</f>
        <v>0.38092199712872865</v>
      </c>
      <c r="L9" s="18">
        <v>0.65400000000000003</v>
      </c>
      <c r="M9" s="80">
        <f>1-(Table56[[#This Row],[NbP]]+Table56[[#This Row],[NbP2]])</f>
        <v>0.42953421598341046</v>
      </c>
    </row>
    <row r="10" spans="1:17" ht="20">
      <c r="A10" s="78" t="s">
        <v>1883</v>
      </c>
      <c r="B10" s="78" t="s">
        <v>297</v>
      </c>
      <c r="C10" s="78">
        <v>58</v>
      </c>
      <c r="D10" s="78">
        <f>Table55[[#This Row],[2011]]/C99</f>
        <v>1.6242403875773614E-3</v>
      </c>
      <c r="F10" s="16" t="s">
        <v>1949</v>
      </c>
      <c r="G10" s="17">
        <v>10098</v>
      </c>
      <c r="H10" s="80">
        <f>Table56[[#This Row],[BIDEN VOTES]]/C99</f>
        <v>0.28278585230614128</v>
      </c>
      <c r="I10" s="18">
        <v>0.497</v>
      </c>
      <c r="J10" s="17">
        <v>9791</v>
      </c>
      <c r="K10" s="80">
        <f>Table56[[#This Row],[TRUMP VOTES]]/C99</f>
        <v>0.27418857990982665</v>
      </c>
      <c r="L10" s="18">
        <v>0.48199999999999998</v>
      </c>
      <c r="M10" s="80">
        <f>1-(Table56[[#This Row],[NbP]]+Table56[[#This Row],[NbP2]])</f>
        <v>0.44302556778403201</v>
      </c>
    </row>
    <row r="11" spans="1:17" ht="20">
      <c r="A11" s="78" t="s">
        <v>1884</v>
      </c>
      <c r="B11" s="78" t="s">
        <v>297</v>
      </c>
      <c r="C11" s="78">
        <v>52</v>
      </c>
      <c r="D11" s="78">
        <f>Table55[[#This Row],[2011]]/C100</f>
        <v>5.0211952375894397E-4</v>
      </c>
      <c r="F11" s="16" t="s">
        <v>1950</v>
      </c>
      <c r="G11" s="17">
        <v>30774</v>
      </c>
      <c r="H11" s="80">
        <f>Table56[[#This Row],[BIDEN VOTES]]/C100</f>
        <v>0.29715819661841814</v>
      </c>
      <c r="I11" s="18">
        <v>0.46500000000000002</v>
      </c>
      <c r="J11" s="17">
        <v>34009</v>
      </c>
      <c r="K11" s="80">
        <f>Table56[[#This Row],[TRUMP VOTES]]/C100</f>
        <v>0.32839582468303707</v>
      </c>
      <c r="L11" s="18">
        <v>0.51400000000000001</v>
      </c>
      <c r="M11" s="80">
        <f>1-(Table56[[#This Row],[NbP]]+Table56[[#This Row],[NbP2]])</f>
        <v>0.37444597869854479</v>
      </c>
    </row>
    <row r="12" spans="1:17" ht="20">
      <c r="A12" s="78" t="s">
        <v>591</v>
      </c>
      <c r="B12" s="78" t="s">
        <v>297</v>
      </c>
      <c r="C12" s="78">
        <v>10</v>
      </c>
      <c r="D12" s="78">
        <f>Table55[[#This Row],[2011]]/C101</f>
        <v>3.3942027017853509E-4</v>
      </c>
      <c r="F12" s="16" t="s">
        <v>363</v>
      </c>
      <c r="G12" s="17">
        <v>6342</v>
      </c>
      <c r="H12" s="80">
        <f>Table56[[#This Row],[BIDEN VOTES]]/C101</f>
        <v>0.21526033534722694</v>
      </c>
      <c r="I12" s="18">
        <v>0.34699999999999998</v>
      </c>
      <c r="J12" s="17">
        <v>11620</v>
      </c>
      <c r="K12" s="80">
        <f>Table56[[#This Row],[TRUMP VOTES]]/C101</f>
        <v>0.39440635394745777</v>
      </c>
      <c r="L12" s="18">
        <v>0.63700000000000001</v>
      </c>
      <c r="M12" s="80">
        <f>1-(Table56[[#This Row],[NbP]]+Table56[[#This Row],[NbP2]])</f>
        <v>0.3903333107053153</v>
      </c>
    </row>
    <row r="13" spans="1:17" ht="20">
      <c r="A13" s="78" t="s">
        <v>1762</v>
      </c>
      <c r="B13" s="78" t="s">
        <v>297</v>
      </c>
      <c r="C13" s="78">
        <v>6</v>
      </c>
      <c r="D13" s="78">
        <f>Table55[[#This Row],[2011]]/C102</f>
        <v>5.0522061300101043E-4</v>
      </c>
      <c r="F13" s="16" t="s">
        <v>1827</v>
      </c>
      <c r="G13" s="17">
        <v>2226</v>
      </c>
      <c r="H13" s="80">
        <f>Table56[[#This Row],[BIDEN VOTES]]/C102</f>
        <v>0.18743684742337488</v>
      </c>
      <c r="I13" s="18">
        <v>0.33700000000000002</v>
      </c>
      <c r="J13" s="17">
        <v>4250</v>
      </c>
      <c r="K13" s="80">
        <f>Table56[[#This Row],[TRUMP VOTES]]/C102</f>
        <v>0.35786460087571575</v>
      </c>
      <c r="L13" s="18">
        <v>0.64400000000000002</v>
      </c>
      <c r="M13" s="80">
        <f>1-(Table56[[#This Row],[NbP]]+Table56[[#This Row],[NbP2]])</f>
        <v>0.45469855170090934</v>
      </c>
    </row>
    <row r="14" spans="1:17" ht="20">
      <c r="A14" s="78" t="s">
        <v>1885</v>
      </c>
      <c r="B14" s="78" t="s">
        <v>297</v>
      </c>
      <c r="C14" s="78">
        <v>23</v>
      </c>
      <c r="D14" s="78">
        <f>Table55[[#This Row],[2011]]/C103</f>
        <v>4.1186161449752884E-4</v>
      </c>
      <c r="F14" s="16" t="s">
        <v>1951</v>
      </c>
      <c r="G14" s="17">
        <v>11806</v>
      </c>
      <c r="H14" s="80">
        <f>Table56[[#This Row],[BIDEN VOTES]]/C103</f>
        <v>0.21141035742425326</v>
      </c>
      <c r="I14" s="18">
        <v>0.34200000000000003</v>
      </c>
      <c r="J14" s="17">
        <v>21916</v>
      </c>
      <c r="K14" s="80">
        <f>Table56[[#This Row],[TRUMP VOTES]]/C103</f>
        <v>0.39245039753599315</v>
      </c>
      <c r="L14" s="18">
        <v>0.63500000000000001</v>
      </c>
      <c r="M14" s="80">
        <f>1-(Table56[[#This Row],[NbP]]+Table56[[#This Row],[NbP2]])</f>
        <v>0.39613924503975362</v>
      </c>
    </row>
    <row r="15" spans="1:17" ht="20">
      <c r="A15" s="78" t="s">
        <v>84</v>
      </c>
      <c r="B15" s="78" t="s">
        <v>297</v>
      </c>
      <c r="C15" s="78">
        <v>40</v>
      </c>
      <c r="D15" s="78">
        <f>Table55[[#This Row],[2011]]/C104</f>
        <v>6.2471692514329442E-4</v>
      </c>
      <c r="F15" s="16" t="s">
        <v>183</v>
      </c>
      <c r="G15" s="17">
        <v>16357</v>
      </c>
      <c r="H15" s="80">
        <f>Table56[[#This Row],[BIDEN VOTES]]/C104</f>
        <v>0.25546236861422167</v>
      </c>
      <c r="I15" s="18">
        <v>0.50900000000000001</v>
      </c>
      <c r="J15" s="17">
        <v>15043</v>
      </c>
      <c r="K15" s="80">
        <f>Table56[[#This Row],[TRUMP VOTES]]/C104</f>
        <v>0.23494041762326445</v>
      </c>
      <c r="L15" s="18">
        <v>0.46800000000000003</v>
      </c>
      <c r="M15" s="80">
        <f>1-(Table56[[#This Row],[NbP]]+Table56[[#This Row],[NbP2]])</f>
        <v>0.50959721376251388</v>
      </c>
    </row>
    <row r="16" spans="1:17" ht="20">
      <c r="A16" s="78" t="s">
        <v>1886</v>
      </c>
      <c r="B16" s="78" t="s">
        <v>297</v>
      </c>
      <c r="C16" s="78">
        <v>19</v>
      </c>
      <c r="D16" s="78">
        <f>Table55[[#This Row],[2011]]/C105</f>
        <v>2.1415689810640216E-3</v>
      </c>
      <c r="F16" s="16" t="s">
        <v>1952</v>
      </c>
      <c r="G16" s="17">
        <v>1260</v>
      </c>
      <c r="H16" s="80">
        <f>Table56[[#This Row],[BIDEN VOTES]]/C105</f>
        <v>0.14201983769161405</v>
      </c>
      <c r="I16" s="18">
        <v>0.26800000000000002</v>
      </c>
      <c r="J16" s="17">
        <v>3372</v>
      </c>
      <c r="K16" s="80">
        <f>Table56[[#This Row],[TRUMP VOTES]]/C105</f>
        <v>0.38007213706041476</v>
      </c>
      <c r="L16" s="18">
        <v>0.71799999999999997</v>
      </c>
      <c r="M16" s="80">
        <f>1-(Table56[[#This Row],[NbP]]+Table56[[#This Row],[NbP2]])</f>
        <v>0.47790802524797116</v>
      </c>
    </row>
    <row r="17" spans="1:13" ht="20">
      <c r="A17" s="78" t="s">
        <v>1235</v>
      </c>
      <c r="B17" s="78" t="s">
        <v>297</v>
      </c>
      <c r="C17" s="78">
        <v>3</v>
      </c>
      <c r="D17" s="78">
        <f>Table55[[#This Row],[2011]]/C106</f>
        <v>5.5534987041836359E-4</v>
      </c>
      <c r="F17" s="16" t="s">
        <v>1329</v>
      </c>
      <c r="G17" s="17">
        <v>2496</v>
      </c>
      <c r="H17" s="80">
        <f>Table56[[#This Row],[BIDEN VOTES]]/C106</f>
        <v>0.46205109218807849</v>
      </c>
      <c r="I17" s="18">
        <v>0.65900000000000003</v>
      </c>
      <c r="J17" s="17">
        <v>1203</v>
      </c>
      <c r="K17" s="80">
        <f>Table56[[#This Row],[TRUMP VOTES]]/C106</f>
        <v>0.22269529803776378</v>
      </c>
      <c r="L17" s="18">
        <v>0.318</v>
      </c>
      <c r="M17" s="80">
        <f>1-(Table56[[#This Row],[NbP]]+Table56[[#This Row],[NbP2]])</f>
        <v>0.31525360977415773</v>
      </c>
    </row>
    <row r="18" spans="1:13" ht="20">
      <c r="A18" s="78" t="s">
        <v>1887</v>
      </c>
      <c r="B18" s="78" t="s">
        <v>297</v>
      </c>
      <c r="C18" s="78">
        <v>9</v>
      </c>
      <c r="D18" s="78">
        <f>Table55[[#This Row],[2011]]/C107</f>
        <v>7.9794308006028898E-4</v>
      </c>
      <c r="F18" s="16" t="s">
        <v>1953</v>
      </c>
      <c r="G18" s="17">
        <v>1834</v>
      </c>
      <c r="H18" s="80">
        <f>Table56[[#This Row],[BIDEN VOTES]]/C107</f>
        <v>0.16260306764784113</v>
      </c>
      <c r="I18" s="18">
        <v>0.30099999999999999</v>
      </c>
      <c r="J18" s="17">
        <v>4165</v>
      </c>
      <c r="K18" s="80">
        <f>Table56[[#This Row],[TRUMP VOTES]]/C107</f>
        <v>0.369270325383456</v>
      </c>
      <c r="L18" s="18">
        <v>0.68300000000000005</v>
      </c>
      <c r="M18" s="80">
        <f>1-(Table56[[#This Row],[NbP]]+Table56[[#This Row],[NbP2]])</f>
        <v>0.4681266069687029</v>
      </c>
    </row>
    <row r="19" spans="1:13" ht="20">
      <c r="A19" s="78" t="s">
        <v>1888</v>
      </c>
      <c r="B19" s="78" t="s">
        <v>297</v>
      </c>
      <c r="C19" s="78">
        <v>17</v>
      </c>
      <c r="D19" s="78">
        <f>Table55[[#This Row],[2011]]/C108</f>
        <v>2.6244693168660748E-4</v>
      </c>
      <c r="F19" s="16" t="s">
        <v>1954</v>
      </c>
      <c r="G19" s="17">
        <v>13726</v>
      </c>
      <c r="H19" s="80">
        <f>Table56[[#This Row],[BIDEN VOTES]]/C108</f>
        <v>0.21190274025472791</v>
      </c>
      <c r="I19" s="18">
        <v>0.34300000000000003</v>
      </c>
      <c r="J19" s="17">
        <v>25676</v>
      </c>
      <c r="K19" s="80">
        <f>Table56[[#This Row],[TRUMP VOTES]]/C108</f>
        <v>0.3963874951756079</v>
      </c>
      <c r="L19" s="18">
        <v>0.64100000000000001</v>
      </c>
      <c r="M19" s="80">
        <f>1-(Table56[[#This Row],[NbP]]+Table56[[#This Row],[NbP2]])</f>
        <v>0.39170976456966422</v>
      </c>
    </row>
    <row r="20" spans="1:13" ht="20">
      <c r="A20" s="78" t="s">
        <v>1889</v>
      </c>
      <c r="B20" s="78" t="s">
        <v>297</v>
      </c>
      <c r="C20" s="78">
        <v>305</v>
      </c>
      <c r="D20" s="78">
        <f>Table55[[#This Row],[2011]]/C109</f>
        <v>7.1718974489208055E-4</v>
      </c>
      <c r="F20" s="16" t="s">
        <v>1955</v>
      </c>
      <c r="G20" s="17">
        <v>146155</v>
      </c>
      <c r="H20" s="80">
        <f>Table56[[#This Row],[BIDEN VOTES]]/C109</f>
        <v>0.34367497431049848</v>
      </c>
      <c r="I20" s="18">
        <v>0.55900000000000005</v>
      </c>
      <c r="J20" s="17">
        <v>109638</v>
      </c>
      <c r="K20" s="80">
        <f>Table56[[#This Row],[TRUMP VOTES]]/C109</f>
        <v>0.25780737459173092</v>
      </c>
      <c r="L20" s="18">
        <v>0.42</v>
      </c>
      <c r="M20" s="80">
        <f>1-(Table56[[#This Row],[NbP]]+Table56[[#This Row],[NbP2]])</f>
        <v>0.3985176510977706</v>
      </c>
    </row>
    <row r="21" spans="1:13" ht="20">
      <c r="A21" s="78" t="s">
        <v>1241</v>
      </c>
      <c r="B21" s="78" t="s">
        <v>297</v>
      </c>
      <c r="C21" s="78">
        <v>2</v>
      </c>
      <c r="D21" s="78">
        <f>Table55[[#This Row],[2011]]/C110</f>
        <v>9.6121497572932181E-5</v>
      </c>
      <c r="F21" s="16" t="s">
        <v>1334</v>
      </c>
      <c r="G21" s="17">
        <v>4079</v>
      </c>
      <c r="H21" s="80">
        <f>Table56[[#This Row],[BIDEN VOTES]]/C110</f>
        <v>0.19603979429999518</v>
      </c>
      <c r="I21" s="18">
        <v>0.33600000000000002</v>
      </c>
      <c r="J21" s="17">
        <v>7783</v>
      </c>
      <c r="K21" s="80">
        <f>Table56[[#This Row],[TRUMP VOTES]]/C110</f>
        <v>0.37405680780506562</v>
      </c>
      <c r="L21" s="18">
        <v>0.64</v>
      </c>
      <c r="M21" s="80">
        <f>1-(Table56[[#This Row],[NbP]]+Table56[[#This Row],[NbP2]])</f>
        <v>0.42990339789493914</v>
      </c>
    </row>
    <row r="22" spans="1:13" ht="20">
      <c r="A22" s="78" t="s">
        <v>315</v>
      </c>
      <c r="B22" s="78" t="s">
        <v>297</v>
      </c>
      <c r="C22" s="78">
        <v>35</v>
      </c>
      <c r="D22" s="78">
        <f>Table55[[#This Row],[2011]]/C111</f>
        <v>9.254362771020624E-4</v>
      </c>
      <c r="F22" s="16" t="s">
        <v>276</v>
      </c>
      <c r="G22" s="17">
        <v>7868</v>
      </c>
      <c r="H22" s="80">
        <f>Table56[[#This Row],[BIDEN VOTES]]/C111</f>
        <v>0.20803807509254363</v>
      </c>
      <c r="I22" s="18">
        <v>0.32600000000000001</v>
      </c>
      <c r="J22" s="17">
        <v>15799</v>
      </c>
      <c r="K22" s="80">
        <f>Table56[[#This Row],[TRUMP VOTES]]/C111</f>
        <v>0.41774193548387095</v>
      </c>
      <c r="L22" s="18">
        <v>0.65500000000000003</v>
      </c>
      <c r="M22" s="80">
        <f>1-(Table56[[#This Row],[NbP]]+Table56[[#This Row],[NbP2]])</f>
        <v>0.37421998942358536</v>
      </c>
    </row>
    <row r="23" spans="1:13" ht="20">
      <c r="A23" s="78" t="s">
        <v>1890</v>
      </c>
      <c r="B23" s="78" t="s">
        <v>297</v>
      </c>
      <c r="C23" s="78">
        <v>63</v>
      </c>
      <c r="D23" s="78">
        <f>Table55[[#This Row],[2011]]/C112</f>
        <v>4.5894951555328911E-3</v>
      </c>
      <c r="F23" s="16" t="s">
        <v>1956</v>
      </c>
      <c r="G23" s="17">
        <v>2531</v>
      </c>
      <c r="H23" s="80">
        <f>Table56[[#This Row],[BIDEN VOTES]]/C112</f>
        <v>0.18438114664529759</v>
      </c>
      <c r="I23" s="18">
        <v>0.32100000000000001</v>
      </c>
      <c r="J23" s="17">
        <v>5191</v>
      </c>
      <c r="K23" s="80">
        <f>Table56[[#This Row],[TRUMP VOTES]]/C112</f>
        <v>0.37815983099001965</v>
      </c>
      <c r="L23" s="18">
        <v>0.65800000000000003</v>
      </c>
      <c r="M23" s="80">
        <f>1-(Table56[[#This Row],[NbP]]+Table56[[#This Row],[NbP2]])</f>
        <v>0.43745902236468281</v>
      </c>
    </row>
    <row r="24" spans="1:13" ht="20">
      <c r="A24" s="78" t="s">
        <v>1891</v>
      </c>
      <c r="B24" s="78" t="s">
        <v>297</v>
      </c>
      <c r="C24" s="78">
        <v>8</v>
      </c>
      <c r="D24" s="78">
        <f>Table55[[#This Row],[2011]]/C113</f>
        <v>3.80390851600019E-4</v>
      </c>
      <c r="F24" s="16" t="s">
        <v>1957</v>
      </c>
      <c r="G24" s="17">
        <v>4551</v>
      </c>
      <c r="H24" s="80">
        <f>Table56[[#This Row],[BIDEN VOTES]]/C113</f>
        <v>0.21639484570396081</v>
      </c>
      <c r="I24" s="18">
        <v>0.376</v>
      </c>
      <c r="J24" s="17">
        <v>7301</v>
      </c>
      <c r="K24" s="80">
        <f>Table56[[#This Row],[TRUMP VOTES]]/C113</f>
        <v>0.34715420094146737</v>
      </c>
      <c r="L24" s="18">
        <v>0.60299999999999998</v>
      </c>
      <c r="M24" s="80">
        <f>1-(Table56[[#This Row],[NbP]]+Table56[[#This Row],[NbP2]])</f>
        <v>0.43645095335457185</v>
      </c>
    </row>
    <row r="25" spans="1:13" ht="20">
      <c r="A25" s="78" t="s">
        <v>1892</v>
      </c>
      <c r="B25" s="78" t="s">
        <v>297</v>
      </c>
      <c r="C25" s="78">
        <v>9</v>
      </c>
      <c r="D25" s="78">
        <f>Table55[[#This Row],[2011]]/C114</f>
        <v>2.9542097488921711E-4</v>
      </c>
      <c r="F25" s="16" t="s">
        <v>1958</v>
      </c>
      <c r="G25" s="17">
        <v>6889</v>
      </c>
      <c r="H25" s="80">
        <f>Table56[[#This Row],[BIDEN VOTES]]/C114</f>
        <v>0.22612834400131299</v>
      </c>
      <c r="I25" s="18">
        <v>0.41</v>
      </c>
      <c r="J25" s="17">
        <v>9578</v>
      </c>
      <c r="K25" s="80">
        <f>Table56[[#This Row],[TRUMP VOTES]]/C114</f>
        <v>0.31439356638765797</v>
      </c>
      <c r="L25" s="18">
        <v>0.56999999999999995</v>
      </c>
      <c r="M25" s="80">
        <f>1-(Table56[[#This Row],[NbP]]+Table56[[#This Row],[NbP2]])</f>
        <v>0.45947808961102909</v>
      </c>
    </row>
    <row r="26" spans="1:13" ht="20">
      <c r="A26" s="78" t="s">
        <v>1893</v>
      </c>
      <c r="B26" s="78" t="s">
        <v>297</v>
      </c>
      <c r="C26" s="78">
        <v>16</v>
      </c>
      <c r="D26" s="78">
        <f>Table55[[#This Row],[2011]]/C115</f>
        <v>3.4534858622922514E-4</v>
      </c>
      <c r="F26" s="16" t="s">
        <v>1959</v>
      </c>
      <c r="G26" s="17">
        <v>11806</v>
      </c>
      <c r="H26" s="80">
        <f>Table56[[#This Row],[BIDEN VOTES]]/C115</f>
        <v>0.25482408806388951</v>
      </c>
      <c r="I26" s="18">
        <v>0.41299999999999998</v>
      </c>
      <c r="J26" s="17">
        <v>16052</v>
      </c>
      <c r="K26" s="80">
        <f>Table56[[#This Row],[TRUMP VOTES]]/C115</f>
        <v>0.34647096913447012</v>
      </c>
      <c r="L26" s="18">
        <v>0.56200000000000006</v>
      </c>
      <c r="M26" s="80">
        <f>1-(Table56[[#This Row],[NbP]]+Table56[[#This Row],[NbP2]])</f>
        <v>0.39870494280164037</v>
      </c>
    </row>
    <row r="27" spans="1:13" ht="20">
      <c r="A27" s="78" t="s">
        <v>313</v>
      </c>
      <c r="B27" s="78" t="s">
        <v>297</v>
      </c>
      <c r="C27" s="78">
        <v>4</v>
      </c>
      <c r="D27" s="78">
        <f>Table55[[#This Row],[2011]]/C116</f>
        <v>6.7091580006709158E-4</v>
      </c>
      <c r="F27" s="16" t="s">
        <v>278</v>
      </c>
      <c r="G27" s="17">
        <v>1300</v>
      </c>
      <c r="H27" s="80">
        <f>Table56[[#This Row],[BIDEN VOTES]]/C116</f>
        <v>0.21804763502180477</v>
      </c>
      <c r="I27" s="18">
        <v>0.35599999999999998</v>
      </c>
      <c r="J27" s="17">
        <v>2269</v>
      </c>
      <c r="K27" s="80">
        <f>Table56[[#This Row],[TRUMP VOTES]]/C116</f>
        <v>0.38057698758805769</v>
      </c>
      <c r="L27" s="18">
        <v>0.622</v>
      </c>
      <c r="M27" s="80">
        <f>1-(Table56[[#This Row],[NbP]]+Table56[[#This Row],[NbP2]])</f>
        <v>0.40137537739013751</v>
      </c>
    </row>
    <row r="28" spans="1:13" ht="20">
      <c r="A28" s="78" t="s">
        <v>1894</v>
      </c>
      <c r="B28" s="78" t="s">
        <v>297</v>
      </c>
      <c r="C28" s="94">
        <v>1242</v>
      </c>
      <c r="D28" s="78">
        <f>Table55[[#This Row],[2011]]/C117</f>
        <v>9.8940807586417865E-4</v>
      </c>
      <c r="F28" s="16" t="s">
        <v>1960</v>
      </c>
      <c r="G28" s="17">
        <v>532623</v>
      </c>
      <c r="H28" s="80">
        <f>Table56[[#This Row],[BIDEN VOTES]]/C117</f>
        <v>0.42430072269807279</v>
      </c>
      <c r="I28" s="18">
        <v>0.70699999999999996</v>
      </c>
      <c r="J28" s="17">
        <v>205973</v>
      </c>
      <c r="K28" s="80">
        <f>Table56[[#This Row],[TRUMP VOTES]]/C117</f>
        <v>0.16408321224635464</v>
      </c>
      <c r="L28" s="18">
        <v>0.27300000000000002</v>
      </c>
      <c r="M28" s="80">
        <f>1-(Table56[[#This Row],[NbP]]+Table56[[#This Row],[NbP2]])</f>
        <v>0.41161606505557258</v>
      </c>
    </row>
    <row r="29" spans="1:13" ht="20">
      <c r="A29" s="78" t="s">
        <v>112</v>
      </c>
      <c r="B29" s="78" t="s">
        <v>297</v>
      </c>
      <c r="C29" s="78">
        <v>4</v>
      </c>
      <c r="D29" s="78">
        <f>Table55[[#This Row],[2011]]/C118</f>
        <v>2.1424745581146223E-4</v>
      </c>
      <c r="F29" s="16" t="s">
        <v>211</v>
      </c>
      <c r="G29" s="17">
        <v>4853</v>
      </c>
      <c r="H29" s="80">
        <f>Table56[[#This Row],[BIDEN VOTES]]/C118</f>
        <v>0.25993572576325658</v>
      </c>
      <c r="I29" s="18">
        <v>0.42499999999999999</v>
      </c>
      <c r="J29" s="17">
        <v>6334</v>
      </c>
      <c r="K29" s="80">
        <f>Table56[[#This Row],[TRUMP VOTES]]/C118</f>
        <v>0.33926084627745046</v>
      </c>
      <c r="L29" s="18">
        <v>0.55500000000000005</v>
      </c>
      <c r="M29" s="80">
        <f>1-(Table56[[#This Row],[NbP]]+Table56[[#This Row],[NbP2]])</f>
        <v>0.40080342795929291</v>
      </c>
    </row>
    <row r="30" spans="1:13" ht="20">
      <c r="A30" s="78" t="s">
        <v>1895</v>
      </c>
      <c r="B30" s="78" t="s">
        <v>297</v>
      </c>
      <c r="C30" s="78">
        <v>6</v>
      </c>
      <c r="D30" s="78">
        <f>Table55[[#This Row],[2011]]/C119</f>
        <v>2.8186216939916382E-4</v>
      </c>
      <c r="F30" s="16" t="s">
        <v>1961</v>
      </c>
      <c r="G30" s="17">
        <v>4462</v>
      </c>
      <c r="H30" s="80">
        <f>Table56[[#This Row],[BIDEN VOTES]]/C119</f>
        <v>0.20961149997651149</v>
      </c>
      <c r="I30" s="18">
        <v>0.34499999999999997</v>
      </c>
      <c r="J30" s="17">
        <v>8202</v>
      </c>
      <c r="K30" s="80">
        <f>Table56[[#This Row],[TRUMP VOTES]]/C119</f>
        <v>0.38530558556865691</v>
      </c>
      <c r="L30" s="18">
        <v>0.63400000000000001</v>
      </c>
      <c r="M30" s="80">
        <f>1-(Table56[[#This Row],[NbP]]+Table56[[#This Row],[NbP2]])</f>
        <v>0.40508291445483158</v>
      </c>
    </row>
    <row r="31" spans="1:13" ht="20">
      <c r="A31" s="78" t="s">
        <v>1896</v>
      </c>
      <c r="B31" s="78" t="s">
        <v>297</v>
      </c>
      <c r="C31" s="78">
        <v>24</v>
      </c>
      <c r="D31" s="78">
        <f>Table55[[#This Row],[2011]]/C120</f>
        <v>5.9994000599940007E-4</v>
      </c>
      <c r="F31" s="16" t="s">
        <v>1962</v>
      </c>
      <c r="G31" s="17">
        <v>7138</v>
      </c>
      <c r="H31" s="80">
        <f>Table56[[#This Row],[BIDEN VOTES]]/C120</f>
        <v>0.17843215678432156</v>
      </c>
      <c r="I31" s="18">
        <v>0.29499999999999998</v>
      </c>
      <c r="J31" s="17">
        <v>16491</v>
      </c>
      <c r="K31" s="80">
        <f>Table56[[#This Row],[TRUMP VOTES]]/C120</f>
        <v>0.41223377662233779</v>
      </c>
      <c r="L31" s="18">
        <v>0.68300000000000005</v>
      </c>
      <c r="M31" s="80">
        <f>1-(Table56[[#This Row],[NbP]]+Table56[[#This Row],[NbP2]])</f>
        <v>0.40933406659334071</v>
      </c>
    </row>
    <row r="32" spans="1:13" ht="20">
      <c r="A32" s="78" t="s">
        <v>1897</v>
      </c>
      <c r="B32" s="78" t="s">
        <v>297</v>
      </c>
      <c r="C32" s="78">
        <v>28</v>
      </c>
      <c r="D32" s="78">
        <f>Table55[[#This Row],[2011]]/C121</f>
        <v>6.197432492253209E-4</v>
      </c>
      <c r="F32" s="16" t="s">
        <v>1963</v>
      </c>
      <c r="G32" s="17">
        <v>10786</v>
      </c>
      <c r="H32" s="80">
        <f>Table56[[#This Row],[BIDEN VOTES]]/C121</f>
        <v>0.23873395307658257</v>
      </c>
      <c r="I32" s="18">
        <v>0.40699999999999997</v>
      </c>
      <c r="J32" s="17">
        <v>15239</v>
      </c>
      <c r="K32" s="80">
        <f>Table56[[#This Row],[TRUMP VOTES]]/C121</f>
        <v>0.3372952633908809</v>
      </c>
      <c r="L32" s="18">
        <v>0.57499999999999996</v>
      </c>
      <c r="M32" s="80">
        <f>1-(Table56[[#This Row],[NbP]]+Table56[[#This Row],[NbP2]])</f>
        <v>0.42397078353253659</v>
      </c>
    </row>
    <row r="33" spans="1:13" ht="20">
      <c r="A33" s="78" t="s">
        <v>114</v>
      </c>
      <c r="B33" s="78" t="s">
        <v>297</v>
      </c>
      <c r="C33" s="78">
        <v>17</v>
      </c>
      <c r="D33" s="78">
        <f>Table55[[#This Row],[2011]]/C122</f>
        <v>1.721867720044566E-3</v>
      </c>
      <c r="F33" s="16" t="s">
        <v>213</v>
      </c>
      <c r="G33" s="17">
        <v>1745</v>
      </c>
      <c r="H33" s="80">
        <f>Table56[[#This Row],[BIDEN VOTES]]/C122</f>
        <v>0.17674465714575105</v>
      </c>
      <c r="I33" s="18">
        <v>0.3</v>
      </c>
      <c r="J33" s="17">
        <v>3948</v>
      </c>
      <c r="K33" s="80">
        <f>Table56[[#This Row],[TRUMP VOTES]]/C122</f>
        <v>0.39987845639623215</v>
      </c>
      <c r="L33" s="18">
        <v>0.67900000000000005</v>
      </c>
      <c r="M33" s="80">
        <f>1-(Table56[[#This Row],[NbP]]+Table56[[#This Row],[NbP2]])</f>
        <v>0.42337688645801674</v>
      </c>
    </row>
    <row r="34" spans="1:13" ht="20">
      <c r="A34" s="78" t="s">
        <v>1898</v>
      </c>
      <c r="B34" s="78" t="s">
        <v>297</v>
      </c>
      <c r="C34" s="78">
        <v>14</v>
      </c>
      <c r="D34" s="78">
        <f>Table55[[#This Row],[2011]]/C123</f>
        <v>8.6393088552915766E-4</v>
      </c>
      <c r="F34" s="16" t="s">
        <v>1964</v>
      </c>
      <c r="G34" s="17">
        <v>2774</v>
      </c>
      <c r="H34" s="80">
        <f>Table56[[#This Row],[BIDEN VOTES]]/C123</f>
        <v>0.17118173403270595</v>
      </c>
      <c r="I34" s="18">
        <v>0.30099999999999999</v>
      </c>
      <c r="J34" s="17">
        <v>6278</v>
      </c>
      <c r="K34" s="80">
        <f>Table56[[#This Row],[TRUMP VOTES]]/C123</f>
        <v>0.38741129281086084</v>
      </c>
      <c r="L34" s="18">
        <v>0.68100000000000005</v>
      </c>
      <c r="M34" s="80">
        <f>1-(Table56[[#This Row],[NbP]]+Table56[[#This Row],[NbP2]])</f>
        <v>0.44140697315643318</v>
      </c>
    </row>
    <row r="35" spans="1:13" ht="20">
      <c r="A35" s="78" t="s">
        <v>1899</v>
      </c>
      <c r="B35" s="78" t="s">
        <v>297</v>
      </c>
      <c r="C35" s="78">
        <v>118</v>
      </c>
      <c r="D35" s="78">
        <f>Table55[[#This Row],[2011]]/C124</f>
        <v>2.7500058262835301E-3</v>
      </c>
      <c r="F35" s="16" t="s">
        <v>1965</v>
      </c>
      <c r="G35" s="17">
        <v>8440</v>
      </c>
      <c r="H35" s="80">
        <f>Table56[[#This Row],[BIDEN VOTES]]/C124</f>
        <v>0.19669533198163555</v>
      </c>
      <c r="I35" s="18">
        <v>0.36199999999999999</v>
      </c>
      <c r="J35" s="17">
        <v>14437</v>
      </c>
      <c r="K35" s="80">
        <f>Table56[[#This Row],[TRUMP VOTES]]/C124</f>
        <v>0.33645622130555364</v>
      </c>
      <c r="L35" s="18">
        <v>0.61899999999999999</v>
      </c>
      <c r="M35" s="80">
        <f>1-(Table56[[#This Row],[NbP]]+Table56[[#This Row],[NbP2]])</f>
        <v>0.46684844671281078</v>
      </c>
    </row>
    <row r="36" spans="1:13" ht="20">
      <c r="A36" s="78" t="s">
        <v>1900</v>
      </c>
      <c r="B36" s="78" t="s">
        <v>297</v>
      </c>
      <c r="C36" s="78">
        <v>3</v>
      </c>
      <c r="D36" s="78">
        <f>Table55[[#This Row],[2011]]/C125</f>
        <v>7.0224719101123594E-4</v>
      </c>
      <c r="F36" s="16" t="s">
        <v>1966</v>
      </c>
      <c r="G36" s="17">
        <v>1006</v>
      </c>
      <c r="H36" s="80">
        <f>Table56[[#This Row],[BIDEN VOTES]]/C125</f>
        <v>0.23548689138576778</v>
      </c>
      <c r="I36" s="18">
        <v>0.38300000000000001</v>
      </c>
      <c r="J36" s="17">
        <v>1546</v>
      </c>
      <c r="K36" s="80">
        <f>Table56[[#This Row],[TRUMP VOTES]]/C125</f>
        <v>0.36189138576779029</v>
      </c>
      <c r="L36" s="18">
        <v>0.58799999999999997</v>
      </c>
      <c r="M36" s="80">
        <f>1-(Table56[[#This Row],[NbP]]+Table56[[#This Row],[NbP2]])</f>
        <v>0.40262172284644193</v>
      </c>
    </row>
    <row r="37" spans="1:13" ht="20">
      <c r="A37" s="78" t="s">
        <v>1901</v>
      </c>
      <c r="B37" s="78" t="s">
        <v>297</v>
      </c>
      <c r="C37" s="78">
        <v>22</v>
      </c>
      <c r="D37" s="78">
        <f>Table55[[#This Row],[2011]]/C126</f>
        <v>1.7806556050182112E-3</v>
      </c>
      <c r="F37" s="16" t="s">
        <v>1967</v>
      </c>
      <c r="G37" s="17">
        <v>2659</v>
      </c>
      <c r="H37" s="80">
        <f>Table56[[#This Row],[BIDEN VOTES]]/C126</f>
        <v>0.21521651153379198</v>
      </c>
      <c r="I37" s="18">
        <v>0.38500000000000001</v>
      </c>
      <c r="J37" s="17">
        <v>4131</v>
      </c>
      <c r="K37" s="80">
        <f>Table56[[#This Row],[TRUMP VOTES]]/C126</f>
        <v>0.33435855928773778</v>
      </c>
      <c r="L37" s="18">
        <v>0.59799999999999998</v>
      </c>
      <c r="M37" s="80">
        <f>1-(Table56[[#This Row],[NbP]]+Table56[[#This Row],[NbP2]])</f>
        <v>0.45042492917847021</v>
      </c>
    </row>
    <row r="38" spans="1:13" ht="20">
      <c r="A38" s="78" t="s">
        <v>1902</v>
      </c>
      <c r="B38" s="78" t="s">
        <v>297</v>
      </c>
      <c r="C38" s="78">
        <v>0</v>
      </c>
      <c r="D38" s="78">
        <f>Table55[[#This Row],[2011]]/C127</f>
        <v>0</v>
      </c>
      <c r="F38" s="16" t="s">
        <v>1968</v>
      </c>
      <c r="G38" s="17">
        <v>1446</v>
      </c>
      <c r="H38" s="80">
        <f>Table56[[#This Row],[BIDEN VOTES]]/C127</f>
        <v>0.21760722347629796</v>
      </c>
      <c r="I38" s="18">
        <v>0.35899999999999999</v>
      </c>
      <c r="J38" s="17">
        <v>2528</v>
      </c>
      <c r="K38" s="80">
        <f>Table56[[#This Row],[TRUMP VOTES]]/C127</f>
        <v>0.3804364183596689</v>
      </c>
      <c r="L38" s="18">
        <v>0.627</v>
      </c>
      <c r="M38" s="80">
        <f>1-(Table56[[#This Row],[NbP]]+Table56[[#This Row],[NbP2]])</f>
        <v>0.40195635816403308</v>
      </c>
    </row>
    <row r="39" spans="1:13" ht="20">
      <c r="A39" s="78" t="s">
        <v>118</v>
      </c>
      <c r="B39" s="78" t="s">
        <v>297</v>
      </c>
      <c r="C39" s="78">
        <v>13</v>
      </c>
      <c r="D39" s="78">
        <f>Table55[[#This Row],[2011]]/C128</f>
        <v>1.229779585658878E-3</v>
      </c>
      <c r="F39" s="16" t="s">
        <v>217</v>
      </c>
      <c r="G39" s="17">
        <v>3647</v>
      </c>
      <c r="H39" s="80">
        <f>Table56[[#This Row],[BIDEN VOTES]]/C128</f>
        <v>0.34500047299214831</v>
      </c>
      <c r="I39" s="18">
        <v>0.50800000000000001</v>
      </c>
      <c r="J39" s="17">
        <v>3393</v>
      </c>
      <c r="K39" s="80">
        <f>Table56[[#This Row],[TRUMP VOTES]]/C128</f>
        <v>0.3209724718569672</v>
      </c>
      <c r="L39" s="18">
        <v>0.47199999999999998</v>
      </c>
      <c r="M39" s="80">
        <f>1-(Table56[[#This Row],[NbP]]+Table56[[#This Row],[NbP2]])</f>
        <v>0.33402705515088449</v>
      </c>
    </row>
    <row r="40" spans="1:13" ht="20">
      <c r="A40" s="78" t="s">
        <v>1903</v>
      </c>
      <c r="B40" s="78" t="s">
        <v>297</v>
      </c>
      <c r="C40" s="78">
        <v>1</v>
      </c>
      <c r="D40" s="78">
        <f>Table55[[#This Row],[2011]]/C129</f>
        <v>2.6688017080330931E-4</v>
      </c>
      <c r="F40" s="16" t="s">
        <v>1969</v>
      </c>
      <c r="G40" s="19">
        <v>671</v>
      </c>
      <c r="H40" s="80">
        <f>Table56[[#This Row],[BIDEN VOTES]]/C129</f>
        <v>0.17907659460902056</v>
      </c>
      <c r="I40" s="18">
        <v>0.27900000000000003</v>
      </c>
      <c r="J40" s="17">
        <v>1704</v>
      </c>
      <c r="K40" s="80">
        <f>Table56[[#This Row],[TRUMP VOTES]]/C129</f>
        <v>0.45476381104883906</v>
      </c>
      <c r="L40" s="18">
        <v>0.70899999999999996</v>
      </c>
      <c r="M40" s="80">
        <f>1-(Table56[[#This Row],[NbP]]+Table56[[#This Row],[NbP2]])</f>
        <v>0.3661595943421404</v>
      </c>
    </row>
    <row r="41" spans="1:13" ht="20">
      <c r="A41" s="78" t="s">
        <v>1904</v>
      </c>
      <c r="B41" s="78" t="s">
        <v>297</v>
      </c>
      <c r="C41" s="78">
        <v>24</v>
      </c>
      <c r="D41" s="78">
        <f>Table55[[#This Row],[2011]]/C130</f>
        <v>8.4432717678100267E-4</v>
      </c>
      <c r="F41" s="16" t="s">
        <v>1970</v>
      </c>
      <c r="G41" s="17">
        <v>5672</v>
      </c>
      <c r="H41" s="80">
        <f>Table56[[#This Row],[BIDEN VOTES]]/C130</f>
        <v>0.19954265611257696</v>
      </c>
      <c r="I41" s="18">
        <v>0.33800000000000002</v>
      </c>
      <c r="J41" s="17">
        <v>10775</v>
      </c>
      <c r="K41" s="80">
        <f>Table56[[#This Row],[TRUMP VOTES]]/C130</f>
        <v>0.37906772207563766</v>
      </c>
      <c r="L41" s="18">
        <v>0.64200000000000002</v>
      </c>
      <c r="M41" s="80">
        <f>1-(Table56[[#This Row],[NbP]]+Table56[[#This Row],[NbP2]])</f>
        <v>0.42138962181178541</v>
      </c>
    </row>
    <row r="42" spans="1:13" ht="20">
      <c r="A42" s="78" t="s">
        <v>122</v>
      </c>
      <c r="B42" s="78" t="s">
        <v>297</v>
      </c>
      <c r="C42" s="78">
        <v>4</v>
      </c>
      <c r="D42" s="78">
        <f>Table55[[#This Row],[2011]]/C131</f>
        <v>7.0909413224605564E-4</v>
      </c>
      <c r="F42" s="16" t="s">
        <v>221</v>
      </c>
      <c r="G42" s="19">
        <v>937</v>
      </c>
      <c r="H42" s="80">
        <f>Table56[[#This Row],[BIDEN VOTES]]/C131</f>
        <v>0.16610530047863853</v>
      </c>
      <c r="I42" s="18">
        <v>0.30099999999999999</v>
      </c>
      <c r="J42" s="17">
        <v>2121</v>
      </c>
      <c r="K42" s="80">
        <f>Table56[[#This Row],[TRUMP VOTES]]/C131</f>
        <v>0.37599716362347102</v>
      </c>
      <c r="L42" s="18">
        <v>0.68200000000000005</v>
      </c>
      <c r="M42" s="80">
        <f>1-(Table56[[#This Row],[NbP]]+Table56[[#This Row],[NbP2]])</f>
        <v>0.45789753589789051</v>
      </c>
    </row>
    <row r="43" spans="1:13" ht="20">
      <c r="A43" s="78" t="s">
        <v>1511</v>
      </c>
      <c r="B43" s="78" t="s">
        <v>297</v>
      </c>
      <c r="C43" s="78">
        <v>4</v>
      </c>
      <c r="D43" s="78">
        <f>Table55[[#This Row],[2011]]/C132</f>
        <v>1.5566625155666251E-4</v>
      </c>
      <c r="F43" s="16" t="s">
        <v>1554</v>
      </c>
      <c r="G43" s="17">
        <v>4634</v>
      </c>
      <c r="H43" s="80">
        <f>Table56[[#This Row],[BIDEN VOTES]]/C132</f>
        <v>0.18033935242839352</v>
      </c>
      <c r="I43" s="18">
        <v>0.36</v>
      </c>
      <c r="J43" s="17">
        <v>7979</v>
      </c>
      <c r="K43" s="80">
        <f>Table56[[#This Row],[TRUMP VOTES]]/C132</f>
        <v>0.31051525529265256</v>
      </c>
      <c r="L43" s="18">
        <v>0.62</v>
      </c>
      <c r="M43" s="80">
        <f>1-(Table56[[#This Row],[NbP]]+Table56[[#This Row],[NbP2]])</f>
        <v>0.50914539227895395</v>
      </c>
    </row>
    <row r="44" spans="1:13" ht="20">
      <c r="A44" s="78" t="s">
        <v>1905</v>
      </c>
      <c r="B44" s="78" t="s">
        <v>297</v>
      </c>
      <c r="C44" s="78">
        <v>1</v>
      </c>
      <c r="D44" s="78">
        <f>Table55[[#This Row],[2011]]/C133</f>
        <v>1.8155410312273057E-4</v>
      </c>
      <c r="F44" s="16" t="s">
        <v>1972</v>
      </c>
      <c r="G44" s="17">
        <v>1112</v>
      </c>
      <c r="H44" s="80">
        <f>Table56[[#This Row],[BIDEN VOTES]]/C133</f>
        <v>0.20188816267247639</v>
      </c>
      <c r="I44" s="18">
        <v>0.48299999999999998</v>
      </c>
      <c r="J44" s="17">
        <v>1142</v>
      </c>
      <c r="K44" s="80">
        <f>Table56[[#This Row],[TRUMP VOTES]]/C133</f>
        <v>0.20733478576615832</v>
      </c>
      <c r="L44" s="18">
        <v>0.496</v>
      </c>
      <c r="M44" s="80">
        <f>1-(Table56[[#This Row],[NbP]]+Table56[[#This Row],[NbP2]])</f>
        <v>0.59077705156136529</v>
      </c>
    </row>
    <row r="45" spans="1:13" ht="20">
      <c r="A45" s="78" t="s">
        <v>127</v>
      </c>
      <c r="B45" s="78" t="s">
        <v>297</v>
      </c>
      <c r="C45" s="78">
        <v>3</v>
      </c>
      <c r="D45" s="78">
        <f>Table55[[#This Row],[2011]]/C134</f>
        <v>3.2075269966855556E-4</v>
      </c>
      <c r="F45" s="16" t="s">
        <v>228</v>
      </c>
      <c r="G45" s="17">
        <v>1295</v>
      </c>
      <c r="H45" s="80">
        <f>Table56[[#This Row],[BIDEN VOTES]]/C134</f>
        <v>0.1384582486902598</v>
      </c>
      <c r="I45" s="18">
        <v>0.254</v>
      </c>
      <c r="J45" s="17">
        <v>3721</v>
      </c>
      <c r="K45" s="80">
        <f>Table56[[#This Row],[TRUMP VOTES]]/C134</f>
        <v>0.39784026515556509</v>
      </c>
      <c r="L45" s="18">
        <v>0.72899999999999998</v>
      </c>
      <c r="M45" s="80">
        <f>1-(Table56[[#This Row],[NbP]]+Table56[[#This Row],[NbP2]])</f>
        <v>0.46370148615417506</v>
      </c>
    </row>
    <row r="46" spans="1:13" ht="20">
      <c r="A46" s="78" t="s">
        <v>700</v>
      </c>
      <c r="B46" s="78" t="s">
        <v>297</v>
      </c>
      <c r="C46" s="78">
        <v>63</v>
      </c>
      <c r="D46" s="78">
        <f>Table55[[#This Row],[2011]]/C135</f>
        <v>3.1919744642042863E-3</v>
      </c>
      <c r="F46" s="16" t="s">
        <v>469</v>
      </c>
      <c r="G46" s="17">
        <v>3305</v>
      </c>
      <c r="H46" s="80">
        <f>Table56[[#This Row],[BIDEN VOTES]]/C135</f>
        <v>0.16745199371738359</v>
      </c>
      <c r="I46" s="18">
        <v>0.30099999999999999</v>
      </c>
      <c r="J46" s="17">
        <v>7480</v>
      </c>
      <c r="K46" s="80">
        <f>Table56[[#This Row],[TRUMP VOTES]]/C135</f>
        <v>0.37898363479758829</v>
      </c>
      <c r="L46" s="18">
        <v>0.68100000000000005</v>
      </c>
      <c r="M46" s="80">
        <f>1-(Table56[[#This Row],[NbP]]+Table56[[#This Row],[NbP2]])</f>
        <v>0.45356437148502815</v>
      </c>
    </row>
    <row r="47" spans="1:13" ht="20">
      <c r="A47" s="78" t="s">
        <v>1906</v>
      </c>
      <c r="B47" s="78" t="s">
        <v>297</v>
      </c>
      <c r="C47" s="78">
        <v>22</v>
      </c>
      <c r="D47" s="78">
        <f>Table55[[#This Row],[2011]]/C136</f>
        <v>6.1473119481390414E-4</v>
      </c>
      <c r="F47" s="16" t="s">
        <v>1971</v>
      </c>
      <c r="G47" s="17">
        <v>6413</v>
      </c>
      <c r="H47" s="80">
        <f>Table56[[#This Row],[BIDEN VOTES]]/C136</f>
        <v>0.17919414328825303</v>
      </c>
      <c r="I47" s="18">
        <v>0.307</v>
      </c>
      <c r="J47" s="17">
        <v>13986</v>
      </c>
      <c r="K47" s="80">
        <f>Table56[[#This Row],[TRUMP VOTES]]/C136</f>
        <v>0.39080138593942104</v>
      </c>
      <c r="L47" s="18">
        <v>0.67</v>
      </c>
      <c r="M47" s="80">
        <f>1-(Table56[[#This Row],[NbP]]+Table56[[#This Row],[NbP2]])</f>
        <v>0.43000447077232595</v>
      </c>
    </row>
    <row r="48" spans="1:13" ht="20">
      <c r="A48" s="78" t="s">
        <v>1907</v>
      </c>
      <c r="B48" s="78" t="s">
        <v>297</v>
      </c>
      <c r="C48" s="78">
        <v>9</v>
      </c>
      <c r="D48" s="78">
        <f>Table55[[#This Row],[2011]]/C137</f>
        <v>3.8878569268650912E-4</v>
      </c>
      <c r="F48" s="16" t="s">
        <v>1973</v>
      </c>
      <c r="G48" s="17">
        <v>3867</v>
      </c>
      <c r="H48" s="80">
        <f>Table56[[#This Row],[BIDEN VOTES]]/C137</f>
        <v>0.16704825262430342</v>
      </c>
      <c r="I48" s="18">
        <v>0.28699999999999998</v>
      </c>
      <c r="J48" s="17">
        <v>9359</v>
      </c>
      <c r="K48" s="80">
        <f>Table56[[#This Row],[TRUMP VOTES]]/C137</f>
        <v>0.40429392198367098</v>
      </c>
      <c r="L48" s="18">
        <v>0.69299999999999995</v>
      </c>
      <c r="M48" s="80">
        <f>1-(Table56[[#This Row],[NbP]]+Table56[[#This Row],[NbP2]])</f>
        <v>0.42865782539202557</v>
      </c>
    </row>
    <row r="49" spans="1:13" ht="20">
      <c r="A49" s="78" t="s">
        <v>1908</v>
      </c>
      <c r="B49" s="78" t="s">
        <v>297</v>
      </c>
      <c r="C49" s="78">
        <v>49</v>
      </c>
      <c r="D49" s="78">
        <f>Table55[[#This Row],[2011]]/C138</f>
        <v>1.8873011593421407E-3</v>
      </c>
      <c r="F49" s="16" t="s">
        <v>1974</v>
      </c>
      <c r="G49" s="17">
        <v>4404</v>
      </c>
      <c r="H49" s="80">
        <f>Table56[[#This Row],[BIDEN VOTES]]/C138</f>
        <v>0.16962600623964874</v>
      </c>
      <c r="I49" s="18">
        <v>0.3</v>
      </c>
      <c r="J49" s="17">
        <v>9952</v>
      </c>
      <c r="K49" s="80">
        <f>Table56[[#This Row],[TRUMP VOTES]]/C138</f>
        <v>0.38331471709740783</v>
      </c>
      <c r="L49" s="18">
        <v>0.67900000000000005</v>
      </c>
      <c r="M49" s="80">
        <f>1-(Table56[[#This Row],[NbP]]+Table56[[#This Row],[NbP2]])</f>
        <v>0.44705927666294343</v>
      </c>
    </row>
    <row r="50" spans="1:13" ht="20">
      <c r="A50" s="78" t="s">
        <v>1909</v>
      </c>
      <c r="B50" s="78" t="s">
        <v>297</v>
      </c>
      <c r="C50" s="78">
        <v>31</v>
      </c>
      <c r="D50" s="78">
        <f>Table55[[#This Row],[2011]]/C139</f>
        <v>9.3601859959539845E-4</v>
      </c>
      <c r="F50" s="16" t="s">
        <v>1975</v>
      </c>
      <c r="G50" s="17">
        <v>4367</v>
      </c>
      <c r="H50" s="80">
        <f>Table56[[#This Row],[BIDEN VOTES]]/C139</f>
        <v>0.13185784594945499</v>
      </c>
      <c r="I50" s="18">
        <v>0.224</v>
      </c>
      <c r="J50" s="17">
        <v>14821</v>
      </c>
      <c r="K50" s="80">
        <f>Table56[[#This Row],[TRUMP VOTES]]/C139</f>
        <v>0.44750747305172256</v>
      </c>
      <c r="L50" s="18">
        <v>0.75900000000000001</v>
      </c>
      <c r="M50" s="80">
        <f>1-(Table56[[#This Row],[NbP]]+Table56[[#This Row],[NbP2]])</f>
        <v>0.4206346809988224</v>
      </c>
    </row>
    <row r="51" spans="1:13" ht="20">
      <c r="A51" s="78" t="s">
        <v>1910</v>
      </c>
      <c r="B51" s="78" t="s">
        <v>297</v>
      </c>
      <c r="C51" s="78">
        <v>28</v>
      </c>
      <c r="D51" s="78">
        <f>Table55[[#This Row],[2011]]/C140</f>
        <v>7.0120958653677591E-4</v>
      </c>
      <c r="F51" s="16" t="s">
        <v>1976</v>
      </c>
      <c r="G51" s="17">
        <v>8899</v>
      </c>
      <c r="H51" s="80">
        <f>Table56[[#This Row],[BIDEN VOTES]]/C140</f>
        <v>0.22285943252109888</v>
      </c>
      <c r="I51" s="18">
        <v>0.46100000000000002</v>
      </c>
      <c r="J51" s="17">
        <v>10025</v>
      </c>
      <c r="K51" s="80">
        <f>Table56[[#This Row],[TRUMP VOTES]]/C140</f>
        <v>0.25105807517968498</v>
      </c>
      <c r="L51" s="18">
        <v>0.51900000000000002</v>
      </c>
      <c r="M51" s="80">
        <f>1-(Table56[[#This Row],[NbP]]+Table56[[#This Row],[NbP2]])</f>
        <v>0.52608249229921611</v>
      </c>
    </row>
    <row r="52" spans="1:13" ht="20">
      <c r="A52" s="78" t="s">
        <v>1270</v>
      </c>
      <c r="B52" s="78" t="s">
        <v>297</v>
      </c>
      <c r="C52" s="78">
        <v>4</v>
      </c>
      <c r="D52" s="78">
        <f>Table55[[#This Row],[2011]]/C141</f>
        <v>4.8502485752394809E-4</v>
      </c>
      <c r="F52" s="16" t="s">
        <v>1363</v>
      </c>
      <c r="G52" s="17">
        <v>1449</v>
      </c>
      <c r="H52" s="80">
        <f>Table56[[#This Row],[BIDEN VOTES]]/C141</f>
        <v>0.1757002546380502</v>
      </c>
      <c r="I52" s="18">
        <v>0.29699999999999999</v>
      </c>
      <c r="J52" s="17">
        <v>3363</v>
      </c>
      <c r="K52" s="80">
        <f>Table56[[#This Row],[TRUMP VOTES]]/C141</f>
        <v>0.40778464896325939</v>
      </c>
      <c r="L52" s="18">
        <v>0.68899999999999995</v>
      </c>
      <c r="M52" s="80">
        <f>1-(Table56[[#This Row],[NbP]]+Table56[[#This Row],[NbP2]])</f>
        <v>0.41651509639869044</v>
      </c>
    </row>
    <row r="53" spans="1:13" ht="20">
      <c r="A53" s="78" t="s">
        <v>1911</v>
      </c>
      <c r="B53" s="78" t="s">
        <v>297</v>
      </c>
      <c r="C53" s="78">
        <v>23</v>
      </c>
      <c r="D53" s="78">
        <f>Table55[[#This Row],[2011]]/C142</f>
        <v>6.7298689138576781E-4</v>
      </c>
      <c r="F53" s="16" t="s">
        <v>1977</v>
      </c>
      <c r="G53" s="17">
        <v>9622</v>
      </c>
      <c r="H53" s="80">
        <f>Table56[[#This Row],[BIDEN VOTES]]/C142</f>
        <v>0.28154260299625467</v>
      </c>
      <c r="I53" s="18">
        <v>0.505</v>
      </c>
      <c r="J53" s="17">
        <v>9018</v>
      </c>
      <c r="K53" s="80">
        <f>Table56[[#This Row],[TRUMP VOTES]]/C142</f>
        <v>0.2638693820224719</v>
      </c>
      <c r="L53" s="18">
        <v>0.47299999999999998</v>
      </c>
      <c r="M53" s="80">
        <f>1-(Table56[[#This Row],[NbP]]+Table56[[#This Row],[NbP2]])</f>
        <v>0.45458801498127344</v>
      </c>
    </row>
    <row r="54" spans="1:13" ht="20">
      <c r="A54" s="78" t="s">
        <v>1912</v>
      </c>
      <c r="B54" s="78" t="s">
        <v>297</v>
      </c>
      <c r="C54" s="78">
        <v>36</v>
      </c>
      <c r="D54" s="78">
        <f>Table55[[#This Row],[2011]]/C143</f>
        <v>1.6615128998015414E-3</v>
      </c>
      <c r="F54" s="16" t="s">
        <v>1978</v>
      </c>
      <c r="G54" s="17">
        <v>2933</v>
      </c>
      <c r="H54" s="80">
        <f>Table56[[#This Row],[BIDEN VOTES]]/C143</f>
        <v>0.13536714819772003</v>
      </c>
      <c r="I54" s="18">
        <v>0.33700000000000002</v>
      </c>
      <c r="J54" s="17">
        <v>5600</v>
      </c>
      <c r="K54" s="80">
        <f>Table56[[#This Row],[TRUMP VOTES]]/C143</f>
        <v>0.25845756219135091</v>
      </c>
      <c r="L54" s="18">
        <v>0.64400000000000002</v>
      </c>
      <c r="M54" s="80">
        <f>1-(Table56[[#This Row],[NbP]]+Table56[[#This Row],[NbP2]])</f>
        <v>0.60617528961092904</v>
      </c>
    </row>
    <row r="55" spans="1:13" ht="20">
      <c r="A55" s="78" t="s">
        <v>1913</v>
      </c>
      <c r="B55" s="78" t="s">
        <v>297</v>
      </c>
      <c r="C55" s="78">
        <v>3</v>
      </c>
      <c r="D55" s="78">
        <f>Table55[[#This Row],[2011]]/C144</f>
        <v>4.6396535725332506E-4</v>
      </c>
      <c r="F55" s="16" t="s">
        <v>1979</v>
      </c>
      <c r="G55" s="17">
        <v>1404</v>
      </c>
      <c r="H55" s="80">
        <f>Table56[[#This Row],[BIDEN VOTES]]/C144</f>
        <v>0.21713578719455615</v>
      </c>
      <c r="I55" s="18">
        <v>0.40899999999999997</v>
      </c>
      <c r="J55" s="17">
        <v>1953</v>
      </c>
      <c r="K55" s="80">
        <f>Table56[[#This Row],[TRUMP VOTES]]/C144</f>
        <v>0.30204144757191465</v>
      </c>
      <c r="L55" s="18">
        <v>0.56899999999999995</v>
      </c>
      <c r="M55" s="80">
        <f>1-(Table56[[#This Row],[NbP]]+Table56[[#This Row],[NbP2]])</f>
        <v>0.48082276523352918</v>
      </c>
    </row>
    <row r="56" spans="1:13" ht="20">
      <c r="A56" s="78" t="s">
        <v>1914</v>
      </c>
      <c r="B56" s="78" t="s">
        <v>297</v>
      </c>
      <c r="C56" s="78">
        <v>43</v>
      </c>
      <c r="D56" s="78">
        <f>Table55[[#This Row],[2011]]/C145</f>
        <v>2.7485522161001241E-4</v>
      </c>
      <c r="F56" s="16" t="s">
        <v>1980</v>
      </c>
      <c r="G56" s="17">
        <v>49491</v>
      </c>
      <c r="H56" s="80">
        <f>Table56[[#This Row],[BIDEN VOTES]]/C145</f>
        <v>0.31634557610932845</v>
      </c>
      <c r="I56" s="18">
        <v>0.54300000000000004</v>
      </c>
      <c r="J56" s="17">
        <v>39692</v>
      </c>
      <c r="K56" s="80">
        <f>Table56[[#This Row],[TRUMP VOTES]]/C145</f>
        <v>0.25371054549173516</v>
      </c>
      <c r="L56" s="18">
        <v>0.436</v>
      </c>
      <c r="M56" s="80">
        <f>1-(Table56[[#This Row],[NbP]]+Table56[[#This Row],[NbP2]])</f>
        <v>0.42994387839893644</v>
      </c>
    </row>
    <row r="57" spans="1:13" ht="20">
      <c r="A57" s="78" t="s">
        <v>1915</v>
      </c>
      <c r="B57" s="78" t="s">
        <v>297</v>
      </c>
      <c r="C57" s="78">
        <v>32</v>
      </c>
      <c r="D57" s="78">
        <f>Table55[[#This Row],[2011]]/C146</f>
        <v>5.4779512462339083E-4</v>
      </c>
      <c r="F57" s="16" t="s">
        <v>1981</v>
      </c>
      <c r="G57" s="17">
        <v>11958</v>
      </c>
      <c r="H57" s="80">
        <f>Table56[[#This Row],[BIDEN VOTES]]/C146</f>
        <v>0.20470419063270337</v>
      </c>
      <c r="I57" s="18">
        <v>0.32900000000000001</v>
      </c>
      <c r="J57" s="17">
        <v>23800</v>
      </c>
      <c r="K57" s="80">
        <f>Table56[[#This Row],[TRUMP VOTES]]/C146</f>
        <v>0.40742262393864692</v>
      </c>
      <c r="L57" s="18">
        <v>0.65500000000000003</v>
      </c>
      <c r="M57" s="80">
        <f>1-(Table56[[#This Row],[NbP]]+Table56[[#This Row],[NbP2]])</f>
        <v>0.38787318542864968</v>
      </c>
    </row>
    <row r="58" spans="1:13" ht="20">
      <c r="A58" s="78" t="s">
        <v>1916</v>
      </c>
      <c r="B58" s="78" t="s">
        <v>297</v>
      </c>
      <c r="C58" s="78">
        <v>6</v>
      </c>
      <c r="D58" s="78">
        <f>Table55[[#This Row],[2011]]/C147</f>
        <v>4.2523033309709425E-4</v>
      </c>
      <c r="F58" s="16" t="s">
        <v>1982</v>
      </c>
      <c r="G58" s="17">
        <v>2568</v>
      </c>
      <c r="H58" s="80">
        <f>Table56[[#This Row],[BIDEN VOTES]]/C147</f>
        <v>0.18199858256555634</v>
      </c>
      <c r="I58" s="18">
        <v>0.35399999999999998</v>
      </c>
      <c r="J58" s="17">
        <v>4532</v>
      </c>
      <c r="K58" s="80">
        <f>Table56[[#This Row],[TRUMP VOTES]]/C147</f>
        <v>0.32119064493267185</v>
      </c>
      <c r="L58" s="18">
        <v>0.624</v>
      </c>
      <c r="M58" s="80">
        <f>1-(Table56[[#This Row],[NbP]]+Table56[[#This Row],[NbP2]])</f>
        <v>0.49681077250177186</v>
      </c>
    </row>
    <row r="59" spans="1:13" ht="20">
      <c r="A59" s="78" t="s">
        <v>1917</v>
      </c>
      <c r="B59" s="78" t="s">
        <v>297</v>
      </c>
      <c r="C59" s="78">
        <v>52</v>
      </c>
      <c r="D59" s="78">
        <f>Table55[[#This Row],[2011]]/C148</f>
        <v>1.7775346961099337E-3</v>
      </c>
      <c r="F59" s="16" t="s">
        <v>1983</v>
      </c>
      <c r="G59" s="17">
        <v>5419</v>
      </c>
      <c r="H59" s="80">
        <f>Table56[[#This Row],[BIDEN VOTES]]/C148</f>
        <v>0.18523962535037944</v>
      </c>
      <c r="I59" s="18">
        <v>0.33900000000000002</v>
      </c>
      <c r="J59" s="17">
        <v>10256</v>
      </c>
      <c r="K59" s="80">
        <f>Table56[[#This Row],[TRUMP VOTES]]/C148</f>
        <v>0.35058453544814383</v>
      </c>
      <c r="L59" s="18">
        <v>0.64200000000000002</v>
      </c>
      <c r="M59" s="80">
        <f>1-(Table56[[#This Row],[NbP]]+Table56[[#This Row],[NbP2]])</f>
        <v>0.46417583920147676</v>
      </c>
    </row>
    <row r="60" spans="1:13" ht="20">
      <c r="A60" s="78" t="s">
        <v>1918</v>
      </c>
      <c r="B60" s="78" t="s">
        <v>297</v>
      </c>
      <c r="C60" s="78">
        <v>9</v>
      </c>
      <c r="D60" s="78">
        <f>Table55[[#This Row],[2011]]/C149</f>
        <v>9.8221106624467964E-4</v>
      </c>
      <c r="F60" s="16" t="s">
        <v>1984</v>
      </c>
      <c r="G60" s="17">
        <v>1306</v>
      </c>
      <c r="H60" s="80">
        <f>Table56[[#This Row],[BIDEN VOTES]]/C149</f>
        <v>0.14252973916839462</v>
      </c>
      <c r="I60" s="18">
        <v>0.26500000000000001</v>
      </c>
      <c r="J60" s="17">
        <v>3553</v>
      </c>
      <c r="K60" s="80">
        <f>Table56[[#This Row],[TRUMP VOTES]]/C149</f>
        <v>0.38775510204081631</v>
      </c>
      <c r="L60" s="18">
        <v>0.72</v>
      </c>
      <c r="M60" s="80">
        <f>1-(Table56[[#This Row],[NbP]]+Table56[[#This Row],[NbP2]])</f>
        <v>0.46971515879078907</v>
      </c>
    </row>
    <row r="61" spans="1:13" ht="20">
      <c r="A61" s="78" t="s">
        <v>140</v>
      </c>
      <c r="B61" s="78" t="s">
        <v>297</v>
      </c>
      <c r="C61" s="78">
        <v>31</v>
      </c>
      <c r="D61" s="78">
        <f>Table55[[#This Row],[2011]]/C150</f>
        <v>9.8776446596992099E-4</v>
      </c>
      <c r="F61" s="16" t="s">
        <v>239</v>
      </c>
      <c r="G61" s="17">
        <v>5439</v>
      </c>
      <c r="H61" s="80">
        <f>Table56[[#This Row],[BIDEN VOTES]]/C150</f>
        <v>0.17330486872291614</v>
      </c>
      <c r="I61" s="18">
        <v>0.34899999999999998</v>
      </c>
      <c r="J61" s="17">
        <v>9865</v>
      </c>
      <c r="K61" s="80">
        <f>Table56[[#This Row],[TRUMP VOTES]]/C150</f>
        <v>0.31433214376752483</v>
      </c>
      <c r="L61" s="18">
        <v>0.63400000000000001</v>
      </c>
      <c r="M61" s="80">
        <f>1-(Table56[[#This Row],[NbP]]+Table56[[#This Row],[NbP2]])</f>
        <v>0.512362987509559</v>
      </c>
    </row>
    <row r="62" spans="1:13" ht="20">
      <c r="A62" s="78" t="s">
        <v>1919</v>
      </c>
      <c r="B62" s="78" t="s">
        <v>297</v>
      </c>
      <c r="C62" s="78">
        <v>21</v>
      </c>
      <c r="D62" s="78">
        <f>Table55[[#This Row],[2011]]/C151</f>
        <v>1.8906995588367696E-3</v>
      </c>
      <c r="F62" s="16" t="s">
        <v>1409</v>
      </c>
      <c r="G62" s="17">
        <v>2477</v>
      </c>
      <c r="H62" s="80">
        <f>Table56[[#This Row],[BIDEN VOTES]]/C151</f>
        <v>0.22301251463041324</v>
      </c>
      <c r="I62" s="18">
        <v>0.35399999999999998</v>
      </c>
      <c r="J62" s="17">
        <v>4417</v>
      </c>
      <c r="K62" s="80">
        <f>Table56[[#This Row],[TRUMP VOTES]]/C151</f>
        <v>0.39767714054200054</v>
      </c>
      <c r="L62" s="18">
        <v>0.63</v>
      </c>
      <c r="M62" s="80">
        <f>1-(Table56[[#This Row],[NbP]]+Table56[[#This Row],[NbP2]])</f>
        <v>0.37931034482758619</v>
      </c>
    </row>
    <row r="63" spans="1:13" ht="20">
      <c r="A63" s="78" t="s">
        <v>1920</v>
      </c>
      <c r="B63" s="78" t="s">
        <v>297</v>
      </c>
      <c r="C63" s="78">
        <v>452</v>
      </c>
      <c r="D63" s="78">
        <f>Table55[[#This Row],[2011]]/C152</f>
        <v>8.2693313916260209E-4</v>
      </c>
      <c r="F63" s="16" t="s">
        <v>1985</v>
      </c>
      <c r="G63" s="17">
        <v>211620</v>
      </c>
      <c r="H63" s="80">
        <f>Table56[[#This Row],[BIDEN VOTES]]/C152</f>
        <v>0.38715838696811916</v>
      </c>
      <c r="I63" s="18">
        <v>0.71799999999999997</v>
      </c>
      <c r="J63" s="17">
        <v>77376</v>
      </c>
      <c r="K63" s="80">
        <f>Table56[[#This Row],[TRUMP VOTES]]/C152</f>
        <v>0.14155924463682634</v>
      </c>
      <c r="L63" s="18">
        <v>0.26200000000000001</v>
      </c>
      <c r="M63" s="80">
        <f>1-(Table56[[#This Row],[NbP]]+Table56[[#This Row],[NbP2]])</f>
        <v>0.47128236839505444</v>
      </c>
    </row>
    <row r="64" spans="1:13" ht="20">
      <c r="A64" s="78" t="s">
        <v>1921</v>
      </c>
      <c r="B64" s="78" t="s">
        <v>297</v>
      </c>
      <c r="C64" s="78">
        <v>0</v>
      </c>
      <c r="D64" s="78">
        <f>Table55[[#This Row],[2011]]/C153</f>
        <v>0</v>
      </c>
      <c r="F64" s="16" t="s">
        <v>1986</v>
      </c>
      <c r="G64" s="19">
        <v>691</v>
      </c>
      <c r="H64" s="80">
        <f>Table56[[#This Row],[BIDEN VOTES]]/C153</f>
        <v>0.17253433208489388</v>
      </c>
      <c r="I64" s="18">
        <v>0.316</v>
      </c>
      <c r="J64" s="17">
        <v>1454</v>
      </c>
      <c r="K64" s="80">
        <f>Table56[[#This Row],[TRUMP VOTES]]/C153</f>
        <v>0.36304619225967538</v>
      </c>
      <c r="L64" s="18">
        <v>0.66400000000000003</v>
      </c>
      <c r="M64" s="80">
        <f>1-(Table56[[#This Row],[NbP]]+Table56[[#This Row],[NbP2]])</f>
        <v>0.46441947565543074</v>
      </c>
    </row>
    <row r="65" spans="1:13" ht="20">
      <c r="A65" s="78" t="s">
        <v>1922</v>
      </c>
      <c r="B65" s="78" t="s">
        <v>297</v>
      </c>
      <c r="C65" s="78">
        <v>36</v>
      </c>
      <c r="D65" s="78">
        <f>Table55[[#This Row],[2011]]/C154</f>
        <v>2.3695122753899824E-3</v>
      </c>
      <c r="F65" s="16" t="s">
        <v>1987</v>
      </c>
      <c r="G65" s="17">
        <v>2355</v>
      </c>
      <c r="H65" s="80">
        <f>Table56[[#This Row],[BIDEN VOTES]]/C154</f>
        <v>0.15500559468176134</v>
      </c>
      <c r="I65" s="18">
        <v>0.28499999999999998</v>
      </c>
      <c r="J65" s="17">
        <v>5771</v>
      </c>
      <c r="K65" s="80">
        <f>Table56[[#This Row],[TRUMP VOTES]]/C154</f>
        <v>0.37984598170209966</v>
      </c>
      <c r="L65" s="18">
        <v>0.69799999999999995</v>
      </c>
      <c r="M65" s="80">
        <f>1-(Table56[[#This Row],[NbP]]+Table56[[#This Row],[NbP2]])</f>
        <v>0.46514842361613895</v>
      </c>
    </row>
    <row r="66" spans="1:13" ht="20">
      <c r="A66" s="78" t="s">
        <v>1923</v>
      </c>
      <c r="B66" s="78" t="s">
        <v>297</v>
      </c>
      <c r="C66" s="78">
        <v>10</v>
      </c>
      <c r="D66" s="78">
        <f>Table55[[#This Row],[2011]]/C155</f>
        <v>6.8624759813340648E-4</v>
      </c>
      <c r="F66" s="16" t="s">
        <v>1988</v>
      </c>
      <c r="G66" s="17">
        <v>2496</v>
      </c>
      <c r="H66" s="80">
        <f>Table56[[#This Row],[BIDEN VOTES]]/C155</f>
        <v>0.17128740049409827</v>
      </c>
      <c r="I66" s="18">
        <v>0.308</v>
      </c>
      <c r="J66" s="17">
        <v>5467</v>
      </c>
      <c r="K66" s="80">
        <f>Table56[[#This Row],[TRUMP VOTES]]/C155</f>
        <v>0.37517156189953338</v>
      </c>
      <c r="L66" s="18">
        <v>0.67400000000000004</v>
      </c>
      <c r="M66" s="80">
        <f>1-(Table56[[#This Row],[NbP]]+Table56[[#This Row],[NbP2]])</f>
        <v>0.45354103760636832</v>
      </c>
    </row>
    <row r="67" spans="1:13" ht="20">
      <c r="A67" s="78" t="s">
        <v>1924</v>
      </c>
      <c r="B67" s="78" t="s">
        <v>297</v>
      </c>
      <c r="C67" s="78">
        <v>39</v>
      </c>
      <c r="D67" s="78">
        <f>Table55[[#This Row],[2011]]/C156</f>
        <v>5.8603435062885996E-4</v>
      </c>
      <c r="F67" s="16" t="s">
        <v>1989</v>
      </c>
      <c r="G67" s="17">
        <v>17402</v>
      </c>
      <c r="H67" s="80">
        <f>Table56[[#This Row],[BIDEN VOTES]]/C156</f>
        <v>0.26149153255495949</v>
      </c>
      <c r="I67" s="18">
        <v>0.48899999999999999</v>
      </c>
      <c r="J67" s="17">
        <v>17464</v>
      </c>
      <c r="K67" s="80">
        <f>Table56[[#This Row],[TRUMP VOTES]]/C156</f>
        <v>0.26242317690724126</v>
      </c>
      <c r="L67" s="18">
        <v>0.49</v>
      </c>
      <c r="M67" s="80">
        <f>1-(Table56[[#This Row],[NbP]]+Table56[[#This Row],[NbP2]])</f>
        <v>0.47608529053779924</v>
      </c>
    </row>
    <row r="68" spans="1:13" ht="20">
      <c r="A68" s="78" t="s">
        <v>1925</v>
      </c>
      <c r="B68" s="78" t="s">
        <v>297</v>
      </c>
      <c r="C68" s="78">
        <v>1</v>
      </c>
      <c r="D68" s="78">
        <f>Table55[[#This Row],[2011]]/C157</f>
        <v>1.0654165778819518E-4</v>
      </c>
      <c r="F68" s="16" t="s">
        <v>1990</v>
      </c>
      <c r="G68" s="17">
        <v>1556</v>
      </c>
      <c r="H68" s="80">
        <f>Table56[[#This Row],[BIDEN VOTES]]/C157</f>
        <v>0.16577881951843171</v>
      </c>
      <c r="I68" s="18">
        <v>0.29799999999999999</v>
      </c>
      <c r="J68" s="17">
        <v>3583</v>
      </c>
      <c r="K68" s="80">
        <f>Table56[[#This Row],[TRUMP VOTES]]/C157</f>
        <v>0.38173875985510336</v>
      </c>
      <c r="L68" s="18">
        <v>0.68500000000000005</v>
      </c>
      <c r="M68" s="80">
        <f>1-(Table56[[#This Row],[NbP]]+Table56[[#This Row],[NbP2]])</f>
        <v>0.45248242062646493</v>
      </c>
    </row>
    <row r="69" spans="1:13" ht="20">
      <c r="A69" s="78" t="s">
        <v>1926</v>
      </c>
      <c r="B69" s="78" t="s">
        <v>297</v>
      </c>
      <c r="C69" s="78">
        <v>2</v>
      </c>
      <c r="D69" s="78">
        <f>Table55[[#This Row],[2011]]/C158</f>
        <v>1.3107018808571991E-4</v>
      </c>
      <c r="F69" s="16" t="s">
        <v>1991</v>
      </c>
      <c r="G69" s="17">
        <v>2188</v>
      </c>
      <c r="H69" s="80">
        <f>Table56[[#This Row],[BIDEN VOTES]]/C158</f>
        <v>0.14339078576577757</v>
      </c>
      <c r="I69" s="18">
        <v>0.26</v>
      </c>
      <c r="J69" s="17">
        <v>6065</v>
      </c>
      <c r="K69" s="80">
        <f>Table56[[#This Row],[TRUMP VOTES]]/C158</f>
        <v>0.39747034536994563</v>
      </c>
      <c r="L69" s="18">
        <v>0.72099999999999997</v>
      </c>
      <c r="M69" s="80">
        <f>1-(Table56[[#This Row],[NbP]]+Table56[[#This Row],[NbP2]])</f>
        <v>0.45913886886427679</v>
      </c>
    </row>
    <row r="70" spans="1:13" ht="20">
      <c r="A70" s="78" t="s">
        <v>146</v>
      </c>
      <c r="B70" s="78" t="s">
        <v>297</v>
      </c>
      <c r="C70" s="78">
        <v>65</v>
      </c>
      <c r="D70" s="78">
        <f>Table55[[#This Row],[2011]]/C159</f>
        <v>4.4157308713935368E-4</v>
      </c>
      <c r="F70" s="16" t="s">
        <v>245</v>
      </c>
      <c r="G70" s="17">
        <v>40040</v>
      </c>
      <c r="H70" s="80">
        <f>Table56[[#This Row],[BIDEN VOTES]]/C159</f>
        <v>0.27200902167784186</v>
      </c>
      <c r="I70" s="18">
        <v>0.45600000000000002</v>
      </c>
      <c r="J70" s="17">
        <v>45872</v>
      </c>
      <c r="K70" s="80">
        <f>Table56[[#This Row],[TRUMP VOTES]]/C159</f>
        <v>0.31162831774240662</v>
      </c>
      <c r="L70" s="18">
        <v>0.52300000000000002</v>
      </c>
      <c r="M70" s="80">
        <f>1-(Table56[[#This Row],[NbP]]+Table56[[#This Row],[NbP2]])</f>
        <v>0.41636266057975146</v>
      </c>
    </row>
    <row r="71" spans="1:13" ht="20">
      <c r="A71" s="78" t="s">
        <v>1927</v>
      </c>
      <c r="B71" s="78" t="s">
        <v>297</v>
      </c>
      <c r="C71" s="78">
        <v>35</v>
      </c>
      <c r="D71" s="78">
        <f>Table55[[#This Row],[2011]]/C160</f>
        <v>3.6452637608706974E-4</v>
      </c>
      <c r="F71" s="16" t="s">
        <v>1993</v>
      </c>
      <c r="G71" s="17">
        <v>18065</v>
      </c>
      <c r="H71" s="80">
        <f>Table56[[#This Row],[BIDEN VOTES]]/C160</f>
        <v>0.18814768525751185</v>
      </c>
      <c r="I71" s="18">
        <v>0.32600000000000001</v>
      </c>
      <c r="J71" s="17">
        <v>36222</v>
      </c>
      <c r="K71" s="80">
        <f>Table56[[#This Row],[TRUMP VOTES]]/C160</f>
        <v>0.37725355413216682</v>
      </c>
      <c r="L71" s="18">
        <v>0.65300000000000002</v>
      </c>
      <c r="M71" s="80">
        <f>1-(Table56[[#This Row],[NbP]]+Table56[[#This Row],[NbP2]])</f>
        <v>0.43459876061032132</v>
      </c>
    </row>
    <row r="72" spans="1:13" ht="20">
      <c r="A72" s="78" t="s">
        <v>1928</v>
      </c>
      <c r="B72" s="78" t="s">
        <v>297</v>
      </c>
      <c r="C72" s="78">
        <v>17</v>
      </c>
      <c r="D72" s="78">
        <f>Table55[[#This Row],[2011]]/C161</f>
        <v>1.1431645484500034E-3</v>
      </c>
      <c r="F72" s="16" t="s">
        <v>1994</v>
      </c>
      <c r="G72" s="17">
        <v>2417</v>
      </c>
      <c r="H72" s="80">
        <f>Table56[[#This Row],[BIDEN VOTES]]/C161</f>
        <v>0.16253110080021518</v>
      </c>
      <c r="I72" s="18">
        <v>0.28599999999999998</v>
      </c>
      <c r="J72" s="17">
        <v>5864</v>
      </c>
      <c r="K72" s="80">
        <f>Table56[[#This Row],[TRUMP VOTES]]/C161</f>
        <v>0.39432452424181291</v>
      </c>
      <c r="L72" s="18">
        <v>0.69499999999999995</v>
      </c>
      <c r="M72" s="80">
        <f>1-(Table56[[#This Row],[NbP]]+Table56[[#This Row],[NbP2]])</f>
        <v>0.44314437495797188</v>
      </c>
    </row>
    <row r="73" spans="1:13" ht="20">
      <c r="A73" s="78" t="s">
        <v>1929</v>
      </c>
      <c r="B73" s="78" t="s">
        <v>297</v>
      </c>
      <c r="C73" s="78">
        <v>241</v>
      </c>
      <c r="D73" s="78">
        <f>Table55[[#This Row],[2011]]/C162</f>
        <v>1.2080261053940119E-3</v>
      </c>
      <c r="F73" s="16" t="s">
        <v>1992</v>
      </c>
      <c r="G73" s="17">
        <v>67704</v>
      </c>
      <c r="H73" s="80">
        <f>Table56[[#This Row],[BIDEN VOTES]]/C162</f>
        <v>0.33937012215600076</v>
      </c>
      <c r="I73" s="18">
        <v>0.56799999999999995</v>
      </c>
      <c r="J73" s="17">
        <v>49017</v>
      </c>
      <c r="K73" s="80">
        <f>Table56[[#This Row],[TRUMP VOTES]]/C162</f>
        <v>0.24570047970165265</v>
      </c>
      <c r="L73" s="18">
        <v>0.41099999999999998</v>
      </c>
      <c r="M73" s="80">
        <f>1-(Table56[[#This Row],[NbP]]+Table56[[#This Row],[NbP2]])</f>
        <v>0.41492939814234653</v>
      </c>
    </row>
    <row r="74" spans="1:13" ht="20">
      <c r="A74" s="78" t="s">
        <v>1930</v>
      </c>
      <c r="B74" s="78" t="s">
        <v>297</v>
      </c>
      <c r="C74" s="78">
        <v>87</v>
      </c>
      <c r="D74" s="78">
        <f>Table55[[#This Row],[2011]]/C163</f>
        <v>5.4447142463764486E-4</v>
      </c>
      <c r="F74" s="16" t="s">
        <v>1995</v>
      </c>
      <c r="G74" s="17">
        <v>31879</v>
      </c>
      <c r="H74" s="80">
        <f>Table56[[#This Row],[BIDEN VOTES]]/C163</f>
        <v>0.19950809823015495</v>
      </c>
      <c r="I74" s="18">
        <v>0.377</v>
      </c>
      <c r="J74" s="17">
        <v>50959</v>
      </c>
      <c r="K74" s="80">
        <f>Table56[[#This Row],[TRUMP VOTES]]/C163</f>
        <v>0.31891631411620397</v>
      </c>
      <c r="L74" s="18">
        <v>0.60199999999999998</v>
      </c>
      <c r="M74" s="80">
        <f>1-(Table56[[#This Row],[NbP]]+Table56[[#This Row],[NbP2]])</f>
        <v>0.48157558765364106</v>
      </c>
    </row>
    <row r="75" spans="1:13" ht="20">
      <c r="A75" s="78" t="s">
        <v>1931</v>
      </c>
      <c r="B75" s="78" t="s">
        <v>297</v>
      </c>
      <c r="C75" s="78">
        <v>32</v>
      </c>
      <c r="D75" s="78">
        <f>Table55[[#This Row],[2011]]/C164</f>
        <v>8.7169708526287114E-4</v>
      </c>
      <c r="F75" s="16" t="s">
        <v>1996</v>
      </c>
      <c r="G75" s="17">
        <v>7917</v>
      </c>
      <c r="H75" s="80">
        <f>Table56[[#This Row],[BIDEN VOTES]]/C164</f>
        <v>0.21566330700081721</v>
      </c>
      <c r="I75" s="18">
        <v>0.376</v>
      </c>
      <c r="J75" s="17">
        <v>12656</v>
      </c>
      <c r="K75" s="80">
        <f>Table56[[#This Row],[TRUMP VOTES]]/C164</f>
        <v>0.34475619722146555</v>
      </c>
      <c r="L75" s="18">
        <v>0.6</v>
      </c>
      <c r="M75" s="80">
        <f>1-(Table56[[#This Row],[NbP]]+Table56[[#This Row],[NbP2]])</f>
        <v>0.43958049577771718</v>
      </c>
    </row>
    <row r="76" spans="1:13" ht="20">
      <c r="A76" s="78" t="s">
        <v>1932</v>
      </c>
      <c r="B76" s="78" t="s">
        <v>297</v>
      </c>
      <c r="C76" s="78">
        <v>6</v>
      </c>
      <c r="D76" s="78">
        <f>Table55[[#This Row],[2011]]/C165</f>
        <v>6.1412487205731836E-4</v>
      </c>
      <c r="F76" s="16" t="s">
        <v>1997</v>
      </c>
      <c r="G76" s="17">
        <v>1922</v>
      </c>
      <c r="H76" s="80">
        <f>Table56[[#This Row],[BIDEN VOTES]]/C165</f>
        <v>0.19672466734902763</v>
      </c>
      <c r="I76" s="18">
        <v>0.379</v>
      </c>
      <c r="J76" s="17">
        <v>3044</v>
      </c>
      <c r="K76" s="80">
        <f>Table56[[#This Row],[TRUMP VOTES]]/C165</f>
        <v>0.31156601842374615</v>
      </c>
      <c r="L76" s="18">
        <v>0.60099999999999998</v>
      </c>
      <c r="M76" s="80">
        <f>1-(Table56[[#This Row],[NbP]]+Table56[[#This Row],[NbP2]])</f>
        <v>0.49170931422722619</v>
      </c>
    </row>
    <row r="77" spans="1:13" ht="20">
      <c r="A77" s="78" t="s">
        <v>1933</v>
      </c>
      <c r="B77" s="78" t="s">
        <v>297</v>
      </c>
      <c r="C77" s="78">
        <v>26</v>
      </c>
      <c r="D77" s="78">
        <f>Table55[[#This Row],[2011]]/C166</f>
        <v>2.7870082538321364E-3</v>
      </c>
      <c r="F77" s="16" t="s">
        <v>1998</v>
      </c>
      <c r="G77" s="17">
        <v>1784</v>
      </c>
      <c r="H77" s="80">
        <f>Table56[[#This Row],[BIDEN VOTES]]/C166</f>
        <v>0.19123164326294351</v>
      </c>
      <c r="I77" s="18">
        <v>0.34399999999999997</v>
      </c>
      <c r="J77" s="17">
        <v>3316</v>
      </c>
      <c r="K77" s="80">
        <f>Table56[[#This Row],[TRUMP VOTES]]/C166</f>
        <v>0.35545074498874479</v>
      </c>
      <c r="L77" s="18">
        <v>0.64</v>
      </c>
      <c r="M77" s="80">
        <f>1-(Table56[[#This Row],[NbP]]+Table56[[#This Row],[NbP2]])</f>
        <v>0.45331761174831176</v>
      </c>
    </row>
    <row r="78" spans="1:13" ht="20">
      <c r="A78" s="78" t="s">
        <v>1619</v>
      </c>
      <c r="B78" s="78" t="s">
        <v>297</v>
      </c>
      <c r="C78" s="78">
        <v>11</v>
      </c>
      <c r="D78" s="78">
        <f>Table55[[#This Row],[2011]]/C167</f>
        <v>4.4709994716091536E-4</v>
      </c>
      <c r="F78" s="16" t="s">
        <v>1666</v>
      </c>
      <c r="G78" s="17">
        <v>3286</v>
      </c>
      <c r="H78" s="80">
        <f>Table56[[#This Row],[BIDEN VOTES]]/C167</f>
        <v>0.13356094785188799</v>
      </c>
      <c r="I78" s="18">
        <v>0.248</v>
      </c>
      <c r="J78" s="17">
        <v>9753</v>
      </c>
      <c r="K78" s="80">
        <f>Table56[[#This Row],[TRUMP VOTES]]/C167</f>
        <v>0.39641507133276432</v>
      </c>
      <c r="L78" s="18">
        <v>0.73699999999999999</v>
      </c>
      <c r="M78" s="80">
        <f>1-(Table56[[#This Row],[NbP]]+Table56[[#This Row],[NbP2]])</f>
        <v>0.47002398081534769</v>
      </c>
    </row>
    <row r="79" spans="1:13" ht="20">
      <c r="A79" s="78" t="s">
        <v>1934</v>
      </c>
      <c r="B79" s="78" t="s">
        <v>297</v>
      </c>
      <c r="C79" s="78">
        <v>1</v>
      </c>
      <c r="D79" s="78">
        <f>Table55[[#This Row],[2011]]/C168</f>
        <v>3.0469226081657528E-4</v>
      </c>
      <c r="F79" s="16" t="s">
        <v>1999</v>
      </c>
      <c r="G79" s="19">
        <v>661</v>
      </c>
      <c r="H79" s="80">
        <f>Table56[[#This Row],[BIDEN VOTES]]/C168</f>
        <v>0.20140158439975625</v>
      </c>
      <c r="I79" s="18">
        <v>0.35499999999999998</v>
      </c>
      <c r="J79" s="17">
        <v>1172</v>
      </c>
      <c r="K79" s="80">
        <f>Table56[[#This Row],[TRUMP VOTES]]/C168</f>
        <v>0.35709932967702618</v>
      </c>
      <c r="L79" s="18">
        <v>0.629</v>
      </c>
      <c r="M79" s="80">
        <f>1-(Table56[[#This Row],[NbP]]+Table56[[#This Row],[NbP2]])</f>
        <v>0.44149908592321752</v>
      </c>
    </row>
    <row r="80" spans="1:13" ht="20">
      <c r="A80" s="78" t="s">
        <v>1935</v>
      </c>
      <c r="B80" s="78" t="s">
        <v>297</v>
      </c>
      <c r="C80" s="78">
        <v>2</v>
      </c>
      <c r="D80" s="78">
        <f>Table55[[#This Row],[2011]]/C169</f>
        <v>9.274717121127805E-5</v>
      </c>
      <c r="F80" s="16" t="s">
        <v>2000</v>
      </c>
      <c r="G80" s="17">
        <v>4696</v>
      </c>
      <c r="H80" s="80">
        <f>Table56[[#This Row],[BIDEN VOTES]]/C169</f>
        <v>0.21777035800408087</v>
      </c>
      <c r="I80" s="18">
        <v>0.35899999999999999</v>
      </c>
      <c r="J80" s="17">
        <v>8153</v>
      </c>
      <c r="K80" s="80">
        <f>Table56[[#This Row],[TRUMP VOTES]]/C169</f>
        <v>0.37808384344277501</v>
      </c>
      <c r="L80" s="18">
        <v>0.623</v>
      </c>
      <c r="M80" s="80">
        <f>1-(Table56[[#This Row],[NbP]]+Table56[[#This Row],[NbP2]])</f>
        <v>0.40414579855314414</v>
      </c>
    </row>
    <row r="81" spans="1:13" ht="20">
      <c r="A81" s="78" t="s">
        <v>1936</v>
      </c>
      <c r="B81" s="78" t="s">
        <v>297</v>
      </c>
      <c r="C81" s="78">
        <v>10</v>
      </c>
      <c r="D81" s="78">
        <f>Table55[[#This Row],[2011]]/C170</f>
        <v>7.3094072070755062E-4</v>
      </c>
      <c r="F81" s="16" t="s">
        <v>2001</v>
      </c>
      <c r="G81" s="17">
        <v>2023</v>
      </c>
      <c r="H81" s="80">
        <f>Table56[[#This Row],[BIDEN VOTES]]/C170</f>
        <v>0.14786930779913748</v>
      </c>
      <c r="I81" s="18">
        <v>0.26400000000000001</v>
      </c>
      <c r="J81" s="17">
        <v>5520</v>
      </c>
      <c r="K81" s="80">
        <f>Table56[[#This Row],[TRUMP VOTES]]/C170</f>
        <v>0.40347927783056792</v>
      </c>
      <c r="L81" s="18">
        <v>0.72099999999999997</v>
      </c>
      <c r="M81" s="80">
        <f>1-(Table56[[#This Row],[NbP]]+Table56[[#This Row],[NbP2]])</f>
        <v>0.44865141437029465</v>
      </c>
    </row>
    <row r="82" spans="1:13" ht="20">
      <c r="A82" s="78" t="s">
        <v>1937</v>
      </c>
      <c r="B82" s="78" t="s">
        <v>297</v>
      </c>
      <c r="C82" s="78">
        <v>6</v>
      </c>
      <c r="D82" s="78">
        <f>Table55[[#This Row],[2011]]/C171</f>
        <v>3.2157787544216958E-4</v>
      </c>
      <c r="F82" s="16" t="s">
        <v>2002</v>
      </c>
      <c r="G82" s="17">
        <v>3496</v>
      </c>
      <c r="H82" s="80">
        <f>Table56[[#This Row],[BIDEN VOTES]]/C171</f>
        <v>0.18737270875763748</v>
      </c>
      <c r="I82" s="18">
        <v>0.33700000000000002</v>
      </c>
      <c r="J82" s="17">
        <v>6624</v>
      </c>
      <c r="K82" s="80">
        <f>Table56[[#This Row],[TRUMP VOTES]]/C171</f>
        <v>0.3550219744881552</v>
      </c>
      <c r="L82" s="18">
        <v>0.63900000000000001</v>
      </c>
      <c r="M82" s="80">
        <f>1-(Table56[[#This Row],[NbP]]+Table56[[#This Row],[NbP2]])</f>
        <v>0.45760531675420735</v>
      </c>
    </row>
    <row r="83" spans="1:13" ht="20">
      <c r="A83" s="78" t="s">
        <v>38</v>
      </c>
      <c r="B83" s="78" t="s">
        <v>297</v>
      </c>
      <c r="C83" s="78">
        <v>101</v>
      </c>
      <c r="D83" s="78">
        <f>Table55[[#This Row],[2011]]/C172</f>
        <v>3.8985301383399212E-4</v>
      </c>
      <c r="F83" s="16" t="s">
        <v>258</v>
      </c>
      <c r="G83" s="17">
        <v>89165</v>
      </c>
      <c r="H83" s="80">
        <f>Table56[[#This Row],[BIDEN VOTES]]/C172</f>
        <v>0.3441707324604743</v>
      </c>
      <c r="I83" s="18">
        <v>0.53600000000000003</v>
      </c>
      <c r="J83" s="17">
        <v>73764</v>
      </c>
      <c r="K83" s="80">
        <f>Table56[[#This Row],[TRUMP VOTES]]/C172</f>
        <v>0.28472393774703558</v>
      </c>
      <c r="L83" s="18">
        <v>0.44400000000000001</v>
      </c>
      <c r="M83" s="80">
        <f>1-(Table56[[#This Row],[NbP]]+Table56[[#This Row],[NbP2]])</f>
        <v>0.37110532979249011</v>
      </c>
    </row>
    <row r="84" spans="1:13" ht="20">
      <c r="A84" s="78" t="s">
        <v>1938</v>
      </c>
      <c r="B84" s="78" t="s">
        <v>297</v>
      </c>
      <c r="C84" s="78">
        <v>2</v>
      </c>
      <c r="D84" s="78">
        <f>Table55[[#This Row],[2011]]/C173</f>
        <v>1.8343575162799229E-4</v>
      </c>
      <c r="F84" s="16" t="s">
        <v>2003</v>
      </c>
      <c r="G84" s="17">
        <v>1987</v>
      </c>
      <c r="H84" s="80">
        <f>Table56[[#This Row],[BIDEN VOTES]]/C173</f>
        <v>0.18224341924241036</v>
      </c>
      <c r="I84" s="18">
        <v>0.38300000000000001</v>
      </c>
      <c r="J84" s="17">
        <v>3103</v>
      </c>
      <c r="K84" s="80">
        <f>Table56[[#This Row],[TRUMP VOTES]]/C173</f>
        <v>0.28460056865083005</v>
      </c>
      <c r="L84" s="18">
        <v>0.59799999999999998</v>
      </c>
      <c r="M84" s="80">
        <f>1-(Table56[[#This Row],[NbP]]+Table56[[#This Row],[NbP2]])</f>
        <v>0.53315601210675956</v>
      </c>
    </row>
    <row r="85" spans="1:13" ht="20">
      <c r="A85" s="78" t="s">
        <v>1939</v>
      </c>
      <c r="B85" s="78" t="s">
        <v>297</v>
      </c>
      <c r="C85" s="78">
        <v>9</v>
      </c>
      <c r="D85" s="78">
        <f>Table55[[#This Row],[2011]]/C174</f>
        <v>1.4367816091954023E-3</v>
      </c>
      <c r="F85" s="16" t="s">
        <v>2004</v>
      </c>
      <c r="G85" s="17">
        <v>1026</v>
      </c>
      <c r="H85" s="80">
        <f>Table56[[#This Row],[BIDEN VOTES]]/C174</f>
        <v>0.16379310344827586</v>
      </c>
      <c r="I85" s="18">
        <v>0.29899999999999999</v>
      </c>
      <c r="J85" s="17">
        <v>2328</v>
      </c>
      <c r="K85" s="80">
        <f>Table56[[#This Row],[TRUMP VOTES]]/C174</f>
        <v>0.37164750957854409</v>
      </c>
      <c r="L85" s="18">
        <v>0.67900000000000005</v>
      </c>
      <c r="M85" s="80">
        <f>1-(Table56[[#This Row],[NbP]]+Table56[[#This Row],[NbP2]])</f>
        <v>0.46455938697318011</v>
      </c>
    </row>
    <row r="86" spans="1:13" ht="20">
      <c r="A86" s="78" t="s">
        <v>1940</v>
      </c>
      <c r="B86" s="78" t="s">
        <v>297</v>
      </c>
      <c r="C86" s="78">
        <v>60</v>
      </c>
      <c r="D86" s="78">
        <f>Table55[[#This Row],[2011]]/C175</f>
        <v>1.1824058016711334E-3</v>
      </c>
      <c r="F86" s="16" t="s">
        <v>2005</v>
      </c>
      <c r="G86" s="17">
        <v>13333</v>
      </c>
      <c r="H86" s="80">
        <f>Table56[[#This Row],[BIDEN VOTES]]/C175</f>
        <v>0.26275027589468708</v>
      </c>
      <c r="I86" s="18">
        <v>0.49199999999999999</v>
      </c>
      <c r="J86" s="17">
        <v>13227</v>
      </c>
      <c r="K86" s="80">
        <f>Table56[[#This Row],[TRUMP VOTES]]/C175</f>
        <v>0.26066135897840137</v>
      </c>
      <c r="L86" s="18">
        <v>0.48799999999999999</v>
      </c>
      <c r="M86" s="80">
        <f>1-(Table56[[#This Row],[NbP]]+Table56[[#This Row],[NbP2]])</f>
        <v>0.47658836512691161</v>
      </c>
    </row>
    <row r="87" spans="1:13" ht="20">
      <c r="A87" s="78" t="s">
        <v>1530</v>
      </c>
      <c r="B87" s="78" t="s">
        <v>297</v>
      </c>
      <c r="C87" s="78">
        <v>70</v>
      </c>
      <c r="D87" s="78">
        <f>Table55[[#This Row],[2011]]/C176</f>
        <v>5.1324539728859792E-4</v>
      </c>
      <c r="F87" s="16" t="s">
        <v>1573</v>
      </c>
      <c r="G87" s="17">
        <v>28430</v>
      </c>
      <c r="H87" s="80">
        <f>Table56[[#This Row],[BIDEN VOTES]]/C176</f>
        <v>0.20845095207021197</v>
      </c>
      <c r="I87" s="18">
        <v>0.34599999999999997</v>
      </c>
      <c r="J87" s="17">
        <v>51973</v>
      </c>
      <c r="K87" s="80">
        <f>Table56[[#This Row],[TRUMP VOTES]]/C176</f>
        <v>0.38107004333257566</v>
      </c>
      <c r="L87" s="18">
        <v>0.63200000000000001</v>
      </c>
      <c r="M87" s="80">
        <f>1-(Table56[[#This Row],[NbP]]+Table56[[#This Row],[NbP2]])</f>
        <v>0.41047900459721243</v>
      </c>
    </row>
    <row r="88" spans="1:13" ht="20">
      <c r="A88" s="78" t="s">
        <v>1941</v>
      </c>
      <c r="B88" s="78" t="s">
        <v>297</v>
      </c>
      <c r="C88" s="78"/>
      <c r="D88" s="78">
        <f>Table55[[#This Row],[2011]]/C177</f>
        <v>0</v>
      </c>
      <c r="F88" s="16" t="s">
        <v>2006</v>
      </c>
      <c r="G88" s="17">
        <v>1688</v>
      </c>
      <c r="H88" s="80">
        <f>Table56[[#This Row],[BIDEN VOTES]]/C177</f>
        <v>0.1726854219948849</v>
      </c>
      <c r="I88" s="18">
        <v>0.30599999999999999</v>
      </c>
      <c r="J88" s="17">
        <v>3734</v>
      </c>
      <c r="K88" s="80">
        <f>Table56[[#This Row],[TRUMP VOTES]]/C177</f>
        <v>0.38199488491048594</v>
      </c>
      <c r="L88" s="18">
        <v>0.67700000000000005</v>
      </c>
      <c r="M88" s="80">
        <f>1-(Table56[[#This Row],[NbP]]+Table56[[#This Row],[NbP2]])</f>
        <v>0.44531969309462915</v>
      </c>
    </row>
    <row r="90" spans="1:13" ht="21">
      <c r="A90" s="77" t="s">
        <v>1670</v>
      </c>
      <c r="B90" s="77" t="s">
        <v>69</v>
      </c>
      <c r="C90" s="77" t="s">
        <v>54</v>
      </c>
    </row>
    <row r="91" spans="1:13" ht="21">
      <c r="A91" s="52">
        <v>53</v>
      </c>
      <c r="B91" s="53" t="s">
        <v>1943</v>
      </c>
      <c r="C91" s="54">
        <v>15826</v>
      </c>
    </row>
    <row r="92" spans="1:13" ht="21">
      <c r="A92" s="52">
        <v>4</v>
      </c>
      <c r="B92" s="53" t="s">
        <v>1944</v>
      </c>
      <c r="C92" s="54">
        <v>353775</v>
      </c>
    </row>
    <row r="93" spans="1:13" ht="21">
      <c r="A93" s="52">
        <v>31</v>
      </c>
      <c r="B93" s="53" t="s">
        <v>1945</v>
      </c>
      <c r="C93" s="54">
        <v>34227</v>
      </c>
    </row>
    <row r="94" spans="1:13" ht="21">
      <c r="A94" s="52">
        <v>20</v>
      </c>
      <c r="B94" s="53" t="s">
        <v>1946</v>
      </c>
      <c r="C94" s="54">
        <v>46784</v>
      </c>
    </row>
    <row r="95" spans="1:13" ht="21">
      <c r="A95" s="52">
        <v>24</v>
      </c>
      <c r="B95" s="53" t="s">
        <v>172</v>
      </c>
      <c r="C95" s="54">
        <v>40476</v>
      </c>
    </row>
    <row r="96" spans="1:13" ht="21">
      <c r="A96" s="52">
        <v>83</v>
      </c>
      <c r="B96" s="53" t="s">
        <v>1947</v>
      </c>
      <c r="C96" s="54">
        <v>4974</v>
      </c>
    </row>
    <row r="97" spans="1:3" ht="21">
      <c r="A97" s="52">
        <v>13</v>
      </c>
      <c r="B97" s="53" t="s">
        <v>1948</v>
      </c>
      <c r="C97" s="54">
        <v>67368</v>
      </c>
    </row>
    <row r="98" spans="1:3" ht="21">
      <c r="A98" s="52">
        <v>41</v>
      </c>
      <c r="B98" s="53" t="s">
        <v>354</v>
      </c>
      <c r="C98" s="54">
        <v>25076</v>
      </c>
    </row>
    <row r="99" spans="1:3" ht="21">
      <c r="A99" s="52">
        <v>30</v>
      </c>
      <c r="B99" s="53" t="s">
        <v>1949</v>
      </c>
      <c r="C99" s="54">
        <v>35709</v>
      </c>
    </row>
    <row r="100" spans="1:3" ht="21">
      <c r="A100" s="52">
        <v>11</v>
      </c>
      <c r="B100" s="53" t="s">
        <v>1950</v>
      </c>
      <c r="C100" s="54">
        <v>103561</v>
      </c>
    </row>
    <row r="101" spans="1:3" ht="21">
      <c r="A101" s="52">
        <v>36</v>
      </c>
      <c r="B101" s="53" t="s">
        <v>363</v>
      </c>
      <c r="C101" s="54">
        <v>29462</v>
      </c>
    </row>
    <row r="102" spans="1:3" ht="21">
      <c r="A102" s="52">
        <v>62</v>
      </c>
      <c r="B102" s="53" t="s">
        <v>1827</v>
      </c>
      <c r="C102" s="54">
        <v>11876</v>
      </c>
    </row>
    <row r="103" spans="1:3" ht="21">
      <c r="A103" s="52">
        <v>18</v>
      </c>
      <c r="B103" s="53" t="s">
        <v>1951</v>
      </c>
      <c r="C103" s="54">
        <v>55844</v>
      </c>
    </row>
    <row r="104" spans="1:3" ht="21">
      <c r="A104" s="52">
        <v>16</v>
      </c>
      <c r="B104" s="53" t="s">
        <v>183</v>
      </c>
      <c r="C104" s="54">
        <v>64029</v>
      </c>
    </row>
    <row r="105" spans="1:3" ht="21">
      <c r="A105" s="52">
        <v>74</v>
      </c>
      <c r="B105" s="53" t="s">
        <v>1952</v>
      </c>
      <c r="C105" s="54">
        <v>8872</v>
      </c>
    </row>
    <row r="106" spans="1:3" ht="21">
      <c r="A106" s="52">
        <v>82</v>
      </c>
      <c r="B106" s="53" t="s">
        <v>1329</v>
      </c>
      <c r="C106" s="54">
        <v>5402</v>
      </c>
    </row>
    <row r="107" spans="1:3" ht="21">
      <c r="A107" s="52">
        <v>63</v>
      </c>
      <c r="B107" s="53" t="s">
        <v>1953</v>
      </c>
      <c r="C107" s="54">
        <v>11279</v>
      </c>
    </row>
    <row r="108" spans="1:3" ht="21">
      <c r="A108" s="52">
        <v>15</v>
      </c>
      <c r="B108" s="53" t="s">
        <v>1954</v>
      </c>
      <c r="C108" s="54">
        <v>64775</v>
      </c>
    </row>
    <row r="109" spans="1:3" ht="21">
      <c r="A109" s="52">
        <v>3</v>
      </c>
      <c r="B109" s="53" t="s">
        <v>1955</v>
      </c>
      <c r="C109" s="54">
        <v>425271</v>
      </c>
    </row>
    <row r="110" spans="1:3" ht="21">
      <c r="A110" s="52">
        <v>48</v>
      </c>
      <c r="B110" s="53" t="s">
        <v>1334</v>
      </c>
      <c r="C110" s="54">
        <v>20807</v>
      </c>
    </row>
    <row r="111" spans="1:3" ht="21">
      <c r="A111" s="52">
        <v>27</v>
      </c>
      <c r="B111" s="53" t="s">
        <v>276</v>
      </c>
      <c r="C111" s="54">
        <v>37820</v>
      </c>
    </row>
    <row r="112" spans="1:3" ht="21">
      <c r="A112" s="52">
        <v>59</v>
      </c>
      <c r="B112" s="53" t="s">
        <v>1956</v>
      </c>
      <c r="C112" s="54">
        <v>13727</v>
      </c>
    </row>
    <row r="113" spans="1:3" ht="21">
      <c r="A113" s="52">
        <v>47</v>
      </c>
      <c r="B113" s="53" t="s">
        <v>1957</v>
      </c>
      <c r="C113" s="54">
        <v>21031</v>
      </c>
    </row>
    <row r="114" spans="1:3" ht="21">
      <c r="A114" s="52">
        <v>35</v>
      </c>
      <c r="B114" s="53" t="s">
        <v>1958</v>
      </c>
      <c r="C114" s="54">
        <v>30465</v>
      </c>
    </row>
    <row r="115" spans="1:3" ht="21">
      <c r="A115" s="52">
        <v>21</v>
      </c>
      <c r="B115" s="53" t="s">
        <v>1959</v>
      </c>
      <c r="C115" s="54">
        <v>46330</v>
      </c>
    </row>
    <row r="116" spans="1:3" ht="21">
      <c r="A116" s="52">
        <v>79</v>
      </c>
      <c r="B116" s="53" t="s">
        <v>278</v>
      </c>
      <c r="C116" s="54">
        <v>5962</v>
      </c>
    </row>
    <row r="117" spans="1:3" ht="21">
      <c r="A117" s="52">
        <v>1</v>
      </c>
      <c r="B117" s="53" t="s">
        <v>1960</v>
      </c>
      <c r="C117" s="54">
        <v>1255296</v>
      </c>
    </row>
    <row r="118" spans="1:3" ht="21">
      <c r="A118" s="52">
        <v>50</v>
      </c>
      <c r="B118" s="53" t="s">
        <v>211</v>
      </c>
      <c r="C118" s="54">
        <v>18670</v>
      </c>
    </row>
    <row r="119" spans="1:3" ht="21">
      <c r="A119" s="52">
        <v>46</v>
      </c>
      <c r="B119" s="53" t="s">
        <v>1961</v>
      </c>
      <c r="C119" s="54">
        <v>21287</v>
      </c>
    </row>
    <row r="120" spans="1:3" ht="21">
      <c r="A120" s="52">
        <v>25</v>
      </c>
      <c r="B120" s="53" t="s">
        <v>1962</v>
      </c>
      <c r="C120" s="54">
        <v>40004</v>
      </c>
    </row>
    <row r="121" spans="1:3" ht="21">
      <c r="A121" s="52">
        <v>22</v>
      </c>
      <c r="B121" s="53" t="s">
        <v>1963</v>
      </c>
      <c r="C121" s="54">
        <v>45180</v>
      </c>
    </row>
    <row r="122" spans="1:3" ht="21">
      <c r="A122" s="52">
        <v>67</v>
      </c>
      <c r="B122" s="53" t="s">
        <v>213</v>
      </c>
      <c r="C122" s="54">
        <v>9873</v>
      </c>
    </row>
    <row r="123" spans="1:3" ht="21">
      <c r="A123" s="52">
        <v>52</v>
      </c>
      <c r="B123" s="53" t="s">
        <v>1964</v>
      </c>
      <c r="C123" s="54">
        <v>16205</v>
      </c>
    </row>
    <row r="124" spans="1:3" ht="21">
      <c r="A124" s="52">
        <v>23</v>
      </c>
      <c r="B124" s="53" t="s">
        <v>1965</v>
      </c>
      <c r="C124" s="54">
        <v>42909</v>
      </c>
    </row>
    <row r="125" spans="1:3" ht="21">
      <c r="A125" s="52">
        <v>84</v>
      </c>
      <c r="B125" s="53" t="s">
        <v>1966</v>
      </c>
      <c r="C125" s="54">
        <v>4272</v>
      </c>
    </row>
    <row r="126" spans="1:3" ht="21">
      <c r="A126" s="52">
        <v>61</v>
      </c>
      <c r="B126" s="53" t="s">
        <v>1967</v>
      </c>
      <c r="C126" s="54">
        <v>12355</v>
      </c>
    </row>
    <row r="127" spans="1:3" ht="21">
      <c r="A127" s="52">
        <v>76</v>
      </c>
      <c r="B127" s="53" t="s">
        <v>1968</v>
      </c>
      <c r="C127" s="54">
        <v>6645</v>
      </c>
    </row>
    <row r="128" spans="1:3" ht="21">
      <c r="A128" s="52">
        <v>66</v>
      </c>
      <c r="B128" s="53" t="s">
        <v>217</v>
      </c>
      <c r="C128" s="54">
        <v>10571</v>
      </c>
    </row>
    <row r="129" spans="1:3" ht="21">
      <c r="A129" s="52">
        <v>86</v>
      </c>
      <c r="B129" s="53" t="s">
        <v>1969</v>
      </c>
      <c r="C129" s="54">
        <v>3747</v>
      </c>
    </row>
    <row r="130" spans="1:3" ht="21">
      <c r="A130" s="52">
        <v>38</v>
      </c>
      <c r="B130" s="53" t="s">
        <v>1970</v>
      </c>
      <c r="C130" s="54">
        <v>28425</v>
      </c>
    </row>
    <row r="131" spans="1:3" ht="21">
      <c r="A131" s="52">
        <v>80</v>
      </c>
      <c r="B131" s="53" t="s">
        <v>221</v>
      </c>
      <c r="C131" s="54">
        <v>5641</v>
      </c>
    </row>
    <row r="132" spans="1:3" ht="21">
      <c r="A132" s="52">
        <v>40</v>
      </c>
      <c r="B132" s="53" t="s">
        <v>1554</v>
      </c>
      <c r="C132" s="54">
        <v>25696</v>
      </c>
    </row>
    <row r="133" spans="1:3" ht="21">
      <c r="A133" s="52">
        <v>81</v>
      </c>
      <c r="B133" s="53" t="s">
        <v>1972</v>
      </c>
      <c r="C133" s="54">
        <v>5508</v>
      </c>
    </row>
    <row r="134" spans="1:3" ht="21">
      <c r="A134" s="52">
        <v>71</v>
      </c>
      <c r="B134" s="53" t="s">
        <v>228</v>
      </c>
      <c r="C134" s="54">
        <v>9353</v>
      </c>
    </row>
    <row r="135" spans="1:3" ht="21">
      <c r="A135" s="52">
        <v>49</v>
      </c>
      <c r="B135" s="53" t="s">
        <v>469</v>
      </c>
      <c r="C135" s="54">
        <v>19737</v>
      </c>
    </row>
    <row r="136" spans="1:3" ht="21">
      <c r="A136" s="52">
        <v>29</v>
      </c>
      <c r="B136" s="53" t="s">
        <v>1971</v>
      </c>
      <c r="C136" s="54">
        <v>35788</v>
      </c>
    </row>
    <row r="137" spans="1:3" ht="21">
      <c r="A137" s="52">
        <v>43</v>
      </c>
      <c r="B137" s="53" t="s">
        <v>1973</v>
      </c>
      <c r="C137" s="54">
        <v>23149</v>
      </c>
    </row>
    <row r="138" spans="1:3" ht="21">
      <c r="A138" s="52">
        <v>39</v>
      </c>
      <c r="B138" s="53" t="s">
        <v>1974</v>
      </c>
      <c r="C138" s="54">
        <v>25963</v>
      </c>
    </row>
    <row r="139" spans="1:3" ht="21">
      <c r="A139" s="52">
        <v>33</v>
      </c>
      <c r="B139" s="53" t="s">
        <v>1975</v>
      </c>
      <c r="C139" s="54">
        <v>33119</v>
      </c>
    </row>
    <row r="140" spans="1:3" ht="21">
      <c r="A140" s="52">
        <v>26</v>
      </c>
      <c r="B140" s="53" t="s">
        <v>1976</v>
      </c>
      <c r="C140" s="54">
        <v>39931</v>
      </c>
    </row>
    <row r="141" spans="1:3" ht="21">
      <c r="A141" s="52">
        <v>75</v>
      </c>
      <c r="B141" s="53" t="s">
        <v>1363</v>
      </c>
      <c r="C141" s="54">
        <v>8247</v>
      </c>
    </row>
    <row r="142" spans="1:3" ht="21">
      <c r="A142" s="52">
        <v>32</v>
      </c>
      <c r="B142" s="53" t="s">
        <v>1977</v>
      </c>
      <c r="C142" s="54">
        <v>34176</v>
      </c>
    </row>
    <row r="143" spans="1:3" ht="21">
      <c r="A143" s="52">
        <v>44</v>
      </c>
      <c r="B143" s="53" t="s">
        <v>1978</v>
      </c>
      <c r="C143" s="54">
        <v>21667</v>
      </c>
    </row>
    <row r="144" spans="1:3" ht="21">
      <c r="A144" s="52">
        <v>77</v>
      </c>
      <c r="B144" s="53" t="s">
        <v>1979</v>
      </c>
      <c r="C144" s="54">
        <v>6466</v>
      </c>
    </row>
    <row r="145" spans="1:3" ht="21">
      <c r="A145" s="52">
        <v>8</v>
      </c>
      <c r="B145" s="53" t="s">
        <v>1980</v>
      </c>
      <c r="C145" s="54">
        <v>156446</v>
      </c>
    </row>
    <row r="146" spans="1:3" ht="21">
      <c r="A146" s="52">
        <v>17</v>
      </c>
      <c r="B146" s="53" t="s">
        <v>1981</v>
      </c>
      <c r="C146" s="54">
        <v>58416</v>
      </c>
    </row>
    <row r="147" spans="1:3" ht="21">
      <c r="A147" s="52">
        <v>58</v>
      </c>
      <c r="B147" s="53" t="s">
        <v>1982</v>
      </c>
      <c r="C147" s="54">
        <v>14110</v>
      </c>
    </row>
    <row r="148" spans="1:3" ht="21">
      <c r="A148" s="52">
        <v>37</v>
      </c>
      <c r="B148" s="53" t="s">
        <v>1983</v>
      </c>
      <c r="C148" s="54">
        <v>29254</v>
      </c>
    </row>
    <row r="149" spans="1:3" ht="21">
      <c r="A149" s="52">
        <v>73</v>
      </c>
      <c r="B149" s="53" t="s">
        <v>1984</v>
      </c>
      <c r="C149" s="54">
        <v>9163</v>
      </c>
    </row>
    <row r="150" spans="1:3" ht="21">
      <c r="A150" s="52">
        <v>34</v>
      </c>
      <c r="B150" s="53" t="s">
        <v>239</v>
      </c>
      <c r="C150" s="54">
        <v>31384</v>
      </c>
    </row>
    <row r="151" spans="1:3" ht="21">
      <c r="A151" s="52">
        <v>64</v>
      </c>
      <c r="B151" s="53" t="s">
        <v>1409</v>
      </c>
      <c r="C151" s="54">
        <v>11107</v>
      </c>
    </row>
    <row r="152" spans="1:3" ht="21">
      <c r="A152" s="52">
        <v>2</v>
      </c>
      <c r="B152" s="53" t="s">
        <v>1985</v>
      </c>
      <c r="C152" s="54">
        <v>546598</v>
      </c>
    </row>
    <row r="153" spans="1:3" ht="21">
      <c r="A153" s="52">
        <v>85</v>
      </c>
      <c r="B153" s="53" t="s">
        <v>1986</v>
      </c>
      <c r="C153" s="54">
        <v>4005</v>
      </c>
    </row>
    <row r="154" spans="1:3" ht="21">
      <c r="A154" s="52">
        <v>55</v>
      </c>
      <c r="B154" s="53" t="s">
        <v>1987</v>
      </c>
      <c r="C154" s="54">
        <v>15193</v>
      </c>
    </row>
    <row r="155" spans="1:3" ht="21">
      <c r="A155" s="52">
        <v>57</v>
      </c>
      <c r="B155" s="53" t="s">
        <v>1988</v>
      </c>
      <c r="C155" s="54">
        <v>14572</v>
      </c>
    </row>
    <row r="156" spans="1:3" ht="21">
      <c r="A156" s="52">
        <v>14</v>
      </c>
      <c r="B156" s="53" t="s">
        <v>1989</v>
      </c>
      <c r="C156" s="54">
        <v>66549</v>
      </c>
    </row>
    <row r="157" spans="1:3" ht="21">
      <c r="A157" s="52">
        <v>70</v>
      </c>
      <c r="B157" s="53" t="s">
        <v>1990</v>
      </c>
      <c r="C157" s="54">
        <v>9386</v>
      </c>
    </row>
    <row r="158" spans="1:3" ht="21">
      <c r="A158" s="52">
        <v>54</v>
      </c>
      <c r="B158" s="53" t="s">
        <v>1991</v>
      </c>
      <c r="C158" s="54">
        <v>15259</v>
      </c>
    </row>
    <row r="159" spans="1:3" ht="21">
      <c r="A159" s="52">
        <v>9</v>
      </c>
      <c r="B159" s="53" t="s">
        <v>245</v>
      </c>
      <c r="C159" s="54">
        <v>147201</v>
      </c>
    </row>
    <row r="160" spans="1:3" ht="21">
      <c r="A160" s="52">
        <v>12</v>
      </c>
      <c r="B160" s="53" t="s">
        <v>1993</v>
      </c>
      <c r="C160" s="54">
        <v>96015</v>
      </c>
    </row>
    <row r="161" spans="1:3" ht="21">
      <c r="A161" s="52">
        <v>56</v>
      </c>
      <c r="B161" s="53" t="s">
        <v>1994</v>
      </c>
      <c r="C161" s="54">
        <v>14871</v>
      </c>
    </row>
    <row r="162" spans="1:3" ht="21">
      <c r="A162" s="52">
        <v>6</v>
      </c>
      <c r="B162" s="53" t="s">
        <v>1992</v>
      </c>
      <c r="C162" s="54">
        <v>199499</v>
      </c>
    </row>
    <row r="163" spans="1:3" ht="21">
      <c r="A163" s="52">
        <v>7</v>
      </c>
      <c r="B163" s="53" t="s">
        <v>1995</v>
      </c>
      <c r="C163" s="54">
        <v>159788</v>
      </c>
    </row>
    <row r="164" spans="1:3" ht="21">
      <c r="A164" s="52">
        <v>28</v>
      </c>
      <c r="B164" s="53" t="s">
        <v>1996</v>
      </c>
      <c r="C164" s="54">
        <v>36710</v>
      </c>
    </row>
    <row r="165" spans="1:3" ht="21">
      <c r="A165" s="52">
        <v>69</v>
      </c>
      <c r="B165" s="53" t="s">
        <v>1997</v>
      </c>
      <c r="C165" s="54">
        <v>9770</v>
      </c>
    </row>
    <row r="166" spans="1:3" ht="21">
      <c r="A166" s="52">
        <v>72</v>
      </c>
      <c r="B166" s="53" t="s">
        <v>1998</v>
      </c>
      <c r="C166" s="54">
        <v>9329</v>
      </c>
    </row>
    <row r="167" spans="1:3" ht="21">
      <c r="A167" s="52">
        <v>42</v>
      </c>
      <c r="B167" s="53" t="s">
        <v>1666</v>
      </c>
      <c r="C167" s="54">
        <v>24603</v>
      </c>
    </row>
    <row r="168" spans="1:3" ht="21">
      <c r="A168" s="52">
        <v>87</v>
      </c>
      <c r="B168" s="53" t="s">
        <v>1999</v>
      </c>
      <c r="C168" s="54">
        <v>3282</v>
      </c>
    </row>
    <row r="169" spans="1:3" ht="21">
      <c r="A169" s="52">
        <v>45</v>
      </c>
      <c r="B169" s="53" t="s">
        <v>2000</v>
      </c>
      <c r="C169" s="54">
        <v>21564</v>
      </c>
    </row>
    <row r="170" spans="1:3" ht="21">
      <c r="A170" s="52">
        <v>60</v>
      </c>
      <c r="B170" s="53" t="s">
        <v>2001</v>
      </c>
      <c r="C170" s="54">
        <v>13681</v>
      </c>
    </row>
    <row r="171" spans="1:3" ht="21">
      <c r="A171" s="52">
        <v>51</v>
      </c>
      <c r="B171" s="53" t="s">
        <v>2002</v>
      </c>
      <c r="C171" s="54">
        <v>18658</v>
      </c>
    </row>
    <row r="172" spans="1:3" ht="21">
      <c r="A172" s="52">
        <v>5</v>
      </c>
      <c r="B172" s="53" t="s">
        <v>258</v>
      </c>
      <c r="C172" s="54">
        <v>259072</v>
      </c>
    </row>
    <row r="173" spans="1:3" ht="21">
      <c r="A173" s="52">
        <v>65</v>
      </c>
      <c r="B173" s="53" t="s">
        <v>2003</v>
      </c>
      <c r="C173" s="54">
        <v>10903</v>
      </c>
    </row>
    <row r="174" spans="1:3" ht="21">
      <c r="A174" s="52">
        <v>78</v>
      </c>
      <c r="B174" s="53" t="s">
        <v>2004</v>
      </c>
      <c r="C174" s="54">
        <v>6264</v>
      </c>
    </row>
    <row r="175" spans="1:3" ht="21">
      <c r="A175" s="52">
        <v>19</v>
      </c>
      <c r="B175" s="53" t="s">
        <v>2005</v>
      </c>
      <c r="C175" s="54">
        <v>50744</v>
      </c>
    </row>
    <row r="176" spans="1:3" ht="21">
      <c r="A176" s="52">
        <v>10</v>
      </c>
      <c r="B176" s="53" t="s">
        <v>1573</v>
      </c>
      <c r="C176" s="54">
        <v>136387</v>
      </c>
    </row>
    <row r="177" spans="1:3" ht="21">
      <c r="A177" s="52">
        <v>68</v>
      </c>
      <c r="B177" s="53" t="s">
        <v>2006</v>
      </c>
      <c r="C177" s="54">
        <v>9775</v>
      </c>
    </row>
  </sheetData>
  <hyperlinks>
    <hyperlink ref="B117" r:id="rId1" display="https://www.minnesota-demographics.com/hennepin-county-demographics" xr:uid="{8D8E5E03-0892-3746-909D-F8C9CC5256F7}"/>
    <hyperlink ref="B152" r:id="rId2" display="https://www.minnesota-demographics.com/ramsey-county-demographics" xr:uid="{BFB6AE91-5D62-D144-9568-934323AE0B10}"/>
    <hyperlink ref="B109" r:id="rId3" display="https://www.minnesota-demographics.com/dakota-county-demographics" xr:uid="{E7BFEF92-9CB7-A24F-B042-D5794925680E}"/>
    <hyperlink ref="B92" r:id="rId4" display="https://www.minnesota-demographics.com/anoka-county-demographics" xr:uid="{A9F052A1-ECD2-F445-9913-818666DF283D}"/>
    <hyperlink ref="B172" r:id="rId5" display="https://www.minnesota-demographics.com/washington-county-demographics" xr:uid="{C0C329A6-77FD-B048-A13B-21BD1DEB2907}"/>
    <hyperlink ref="B162" r:id="rId6" display="https://www.minnesota-demographics.com/st-louis-county-demographics" xr:uid="{48FB319E-1411-4040-841F-704A59B02338}"/>
    <hyperlink ref="B163" r:id="rId7" display="https://www.minnesota-demographics.com/stearns-county-demographics" xr:uid="{4F3D9937-D41D-254C-98A8-AAD59378F179}"/>
    <hyperlink ref="B145" r:id="rId8" display="https://www.minnesota-demographics.com/olmsted-county-demographics" xr:uid="{DCD68CA0-B576-4746-A7A8-333B0C6B0C64}"/>
    <hyperlink ref="B159" r:id="rId9" display="https://www.minnesota-demographics.com/scott-county-demographics" xr:uid="{4F508412-AF67-9847-B089-752DBB6C9297}"/>
    <hyperlink ref="B176" r:id="rId10" display="https://www.minnesota-demographics.com/wright-county-demographics" xr:uid="{BF3CF2CB-AA46-5D48-933C-2B5960115EA3}"/>
    <hyperlink ref="B100" r:id="rId11" display="https://www.minnesota-demographics.com/carver-county-demographics" xr:uid="{5534EF93-693C-F34F-B187-270D0F9C5205}"/>
    <hyperlink ref="B160" r:id="rId12" display="https://www.minnesota-demographics.com/sherburne-county-demographics" xr:uid="{1FA36330-994B-B84E-81AD-22CEDC148165}"/>
    <hyperlink ref="B97" r:id="rId13" display="https://www.minnesota-demographics.com/blue-earth-county-demographics" xr:uid="{266B9EBA-7A5D-DE41-B9D8-FD2DBF0073D9}"/>
    <hyperlink ref="B156" r:id="rId14" display="https://www.minnesota-demographics.com/rice-county-demographics" xr:uid="{E0AF3FBA-0995-A94D-8F72-BEBB5A0D2E50}"/>
    <hyperlink ref="B108" r:id="rId15" display="https://www.minnesota-demographics.com/crow-wing-county-demographics" xr:uid="{0A1ACBC8-A845-4F41-B542-301F8D9984BB}"/>
    <hyperlink ref="B104" r:id="rId16" display="https://www.minnesota-demographics.com/clay-county-demographics" xr:uid="{EDBA2646-DD49-C843-B198-4938631AB66D}"/>
    <hyperlink ref="B146" r:id="rId17" display="https://www.minnesota-demographics.com/otter-tail-county-demographics" xr:uid="{F9CC2A1A-EE6B-6945-812D-46D4E4D161A0}"/>
    <hyperlink ref="B103" r:id="rId18" display="https://www.minnesota-demographics.com/chisago-county-demographics" xr:uid="{1BC8D8E3-E221-104B-AFF7-7C666FE33747}"/>
    <hyperlink ref="B175" r:id="rId19" display="https://www.minnesota-demographics.com/winona-county-demographics" xr:uid="{ACE3E98E-CF7F-8944-BCE6-3C5DA7D5C91C}"/>
    <hyperlink ref="B94" r:id="rId20" display="https://www.minnesota-demographics.com/beltrami-county-demographics" xr:uid="{E089BF2A-9F55-9A43-96CD-9C8FD3ACEA5D}"/>
    <hyperlink ref="B115" r:id="rId21" display="https://www.minnesota-demographics.com/goodhue-county-demographics" xr:uid="{92323A09-5862-D544-8B89-86456FB038BF}"/>
    <hyperlink ref="B121" r:id="rId22" display="https://www.minnesota-demographics.com/itasca-county-demographics" xr:uid="{0F65D345-2B7D-6246-92F7-9BA7C49BDBCE}"/>
    <hyperlink ref="B124" r:id="rId23" display="https://www.minnesota-demographics.com/kandiyohi-county-demographics" xr:uid="{429DCFC7-0E8B-3B4A-AB3A-56DE6FCB590E}"/>
    <hyperlink ref="B95" r:id="rId24" display="https://www.minnesota-demographics.com/benton-county-demographics" xr:uid="{B9EC1449-8928-5D41-AB8C-2C533EC1218D}"/>
    <hyperlink ref="B120" r:id="rId25" display="https://www.minnesota-demographics.com/isanti-county-demographics" xr:uid="{53489419-2E4B-0847-80B5-CB768986188B}"/>
    <hyperlink ref="B140" r:id="rId26" display="https://www.minnesota-demographics.com/mower-county-demographics" xr:uid="{0CBC020C-E3A1-814C-B915-3ADA512914FA}"/>
    <hyperlink ref="B111" r:id="rId27" display="https://www.minnesota-demographics.com/douglas-county-demographics" xr:uid="{6E1B5876-92AB-1A43-9349-EA1AB381FCF4}"/>
    <hyperlink ref="B164" r:id="rId28" display="https://www.minnesota-demographics.com/steele-county-demographics" xr:uid="{DC839868-E81A-AB47-9F1B-C1EE13A4C12A}"/>
    <hyperlink ref="B136" r:id="rId29" display="https://www.minnesota-demographics.com/mcleod-county-demographics" xr:uid="{74C7D945-938D-FF49-8A74-4521CFB6467F}"/>
    <hyperlink ref="B99" r:id="rId30" display="https://www.minnesota-demographics.com/carlton-county-demographics" xr:uid="{8AF1FD4B-879C-D140-AC38-69E8602D01C9}"/>
    <hyperlink ref="B93" r:id="rId31" display="https://www.minnesota-demographics.com/becker-county-demographics" xr:uid="{27ADB320-9F44-8C49-856A-AFAF7C9EDCB5}"/>
    <hyperlink ref="B142" r:id="rId32" display="https://www.minnesota-demographics.com/nicollet-county-demographics" xr:uid="{884FD273-9A29-A540-8F73-1C61F6976E5E}"/>
    <hyperlink ref="B139" r:id="rId33" display="https://www.minnesota-demographics.com/morrison-county-demographics" xr:uid="{C116FDF4-DA83-8644-8592-150663D32DC5}"/>
    <hyperlink ref="B150" r:id="rId34" display="https://www.minnesota-demographics.com/polk-county-demographics" xr:uid="{6AE1AC23-A5FE-6E46-808A-588EF0B2CA4C}"/>
    <hyperlink ref="B114" r:id="rId35" display="https://www.minnesota-demographics.com/freeborn-county-demographics" xr:uid="{77AB9A4D-7AB3-B445-ADF1-1D1ACB9B9CD5}"/>
    <hyperlink ref="B101" r:id="rId36" display="https://www.minnesota-demographics.com/cass-county-demographics" xr:uid="{F1514300-ACC1-DC4C-981A-A133037390A8}"/>
    <hyperlink ref="B148" r:id="rId37" display="https://www.minnesota-demographics.com/pine-county-demographics" xr:uid="{3020D0CA-AF98-AB4D-8AA4-DA8FAAA5F6D3}"/>
    <hyperlink ref="B130" r:id="rId38" display="https://www.minnesota-demographics.com/le-sueur-county-demographics" xr:uid="{D8689E8B-8BE9-FB4C-A062-BD669DBBB681}"/>
    <hyperlink ref="B138" r:id="rId39" display="https://www.minnesota-demographics.com/mille-lacs-county-demographics" xr:uid="{B0AC219E-0EA6-814D-A595-EFC5BC35717F}"/>
    <hyperlink ref="B132" r:id="rId40" display="https://www.minnesota-demographics.com/lyon-county-demographics" xr:uid="{696BD164-6D9A-9244-BDEB-D7C9979FA7EF}"/>
    <hyperlink ref="B98" r:id="rId41" display="https://www.minnesota-demographics.com/brown-county-demographics" xr:uid="{BA39880C-EFB4-7A46-8653-B6B97C72F02B}"/>
    <hyperlink ref="B167" r:id="rId42" display="https://www.minnesota-demographics.com/todd-county-demographics" xr:uid="{2C2C6231-BEED-B44F-A2A9-841F580CB09B}"/>
    <hyperlink ref="B137" r:id="rId43" display="https://www.minnesota-demographics.com/meeker-county-demographics" xr:uid="{35500982-1AE9-9F45-82D6-063B03137F35}"/>
    <hyperlink ref="B143" r:id="rId44" display="https://www.minnesota-demographics.com/nobles-county-demographics" xr:uid="{DBFC377A-8D25-EA48-96C2-86C316918161}"/>
    <hyperlink ref="B169" r:id="rId45" display="https://www.minnesota-demographics.com/wabasha-county-demographics" xr:uid="{C5255E1E-85D5-6645-AA68-1A21C6EA0010}"/>
    <hyperlink ref="B119" r:id="rId46" display="https://www.minnesota-demographics.com/hubbard-county-demographics" xr:uid="{7BAF9DF9-6C48-6144-B039-0D158A4C6161}"/>
    <hyperlink ref="B113" r:id="rId47" display="https://www.minnesota-demographics.com/fillmore-county-demographics" xr:uid="{2CE430CF-03C3-A94D-B21A-52A08314E41F}"/>
    <hyperlink ref="B110" r:id="rId48" display="https://www.minnesota-demographics.com/dodge-county-demographics" xr:uid="{1200ADB1-E77A-294F-A524-DD79597C5B0F}"/>
    <hyperlink ref="B135" r:id="rId49" display="https://www.minnesota-demographics.com/martin-county-demographics" xr:uid="{B92D7E1E-D60E-1E45-9DD1-A81909EF51ED}"/>
    <hyperlink ref="B118" r:id="rId50" display="https://www.minnesota-demographics.com/houston-county-demographics" xr:uid="{1041D49B-7E94-684C-8586-C9965F44FE10}"/>
    <hyperlink ref="B171" r:id="rId51" display="https://www.minnesota-demographics.com/waseca-county-demographics" xr:uid="{FB66BB67-C2C1-F442-ABB4-ACC856A4E10E}"/>
    <hyperlink ref="B123" r:id="rId52" display="https://www.minnesota-demographics.com/kanabec-county-demographics" xr:uid="{F64FA49B-3EE7-9F41-8E1B-310E14C34F5C}"/>
    <hyperlink ref="B91" r:id="rId53" display="https://www.minnesota-demographics.com/aitkin-county-demographics" xr:uid="{C8F41594-7669-0244-970A-EA56A9C15EF5}"/>
    <hyperlink ref="B158" r:id="rId54" display="https://www.minnesota-demographics.com/roseau-county-demographics" xr:uid="{A864B2CD-717C-104A-9555-A066F9D75087}"/>
    <hyperlink ref="B154" r:id="rId55" display="https://www.minnesota-demographics.com/redwood-county-demographics" xr:uid="{26E80747-43A3-774B-8739-F62BDB7860EF}"/>
    <hyperlink ref="B161" r:id="rId56" display="https://www.minnesota-demographics.com/sibley-county-demographics" xr:uid="{25622BC5-303A-5742-B03A-6F58D1DDA600}"/>
    <hyperlink ref="B155" r:id="rId57" display="https://www.minnesota-demographics.com/renville-county-demographics" xr:uid="{6C8A8EBA-C09E-2947-8421-A9F5F0E67291}"/>
    <hyperlink ref="B147" r:id="rId58" display="https://www.minnesota-demographics.com/pennington-county-demographics" xr:uid="{E2F0065F-9D6E-6849-B566-8699DCFF270D}"/>
    <hyperlink ref="B112" r:id="rId59" display="https://www.minnesota-demographics.com/faribault-county-demographics" xr:uid="{A669F1AD-AEEE-F14C-A905-D1CCD5D7BDDC}"/>
    <hyperlink ref="B170" r:id="rId60" display="https://www.minnesota-demographics.com/wadena-county-demographics" xr:uid="{0F897189-30C6-9F4F-9CBE-311A60BCB8A1}"/>
    <hyperlink ref="B126" r:id="rId61" display="https://www.minnesota-demographics.com/koochiching-county-demographics" xr:uid="{5B22C5A4-47C6-6E48-87B5-8EC2911D8ACB}"/>
    <hyperlink ref="B102" r:id="rId62" display="https://www.minnesota-demographics.com/chippewa-county-demographics" xr:uid="{F10DB548-7B30-6441-A503-7100866C199B}"/>
    <hyperlink ref="B107" r:id="rId63" display="https://www.minnesota-demographics.com/cottonwood-county-demographics" xr:uid="{DE207D44-0262-764E-96EE-94D7E0576D74}"/>
    <hyperlink ref="B151" r:id="rId64" display="https://www.minnesota-demographics.com/pope-county-demographics" xr:uid="{8AB4D01E-02BB-A34A-8648-BDB31C888521}"/>
    <hyperlink ref="B173" r:id="rId65" display="https://www.minnesota-demographics.com/watonwan-county-demographics" xr:uid="{C0E33684-4EA4-4642-8FF5-5DDD4C4D343F}"/>
    <hyperlink ref="B128" r:id="rId66" display="https://www.minnesota-demographics.com/lake-county-demographics" xr:uid="{5DEBCB99-A834-7946-9ED7-95EC71C99B23}"/>
    <hyperlink ref="B122" r:id="rId67" display="https://www.minnesota-demographics.com/jackson-county-demographics" xr:uid="{882C2AD9-8668-1343-AA36-7A9A07C969F6}"/>
    <hyperlink ref="B177" r:id="rId68" display="https://www.minnesota-demographics.com/yellow-medicine-county-demographics" xr:uid="{2C830574-DE66-2943-8C2C-D3212D23A97E}"/>
    <hyperlink ref="B165" r:id="rId69" display="https://www.minnesota-demographics.com/stevens-county-demographics" xr:uid="{08505345-4FB2-6F42-9535-BAD6D633E69E}"/>
    <hyperlink ref="B157" r:id="rId70" display="https://www.minnesota-demographics.com/rock-county-demographics" xr:uid="{5EAE175D-BD1F-244F-90C1-E7976E9FEF66}"/>
    <hyperlink ref="B134" r:id="rId71" display="https://www.minnesota-demographics.com/marshall-county-demographics" xr:uid="{66E97D7B-0016-E247-BF9D-1160A6643BF5}"/>
    <hyperlink ref="B166" r:id="rId72" display="https://www.minnesota-demographics.com/swift-county-demographics" xr:uid="{33D0C499-769D-0445-993E-9024E32A6A79}"/>
    <hyperlink ref="B149" r:id="rId73" display="https://www.minnesota-demographics.com/pipestone-county-demographics" xr:uid="{F7452334-1778-FE4C-8A9F-319B046A8D73}"/>
    <hyperlink ref="B105" r:id="rId74" display="https://www.minnesota-demographics.com/clearwater-county-demographics" xr:uid="{1E83DF75-FC5C-3F45-9087-42D1FBF3FCDA}"/>
    <hyperlink ref="B141" r:id="rId75" display="https://www.minnesota-demographics.com/murray-county-demographics" xr:uid="{E22C0C36-2BD5-AB4D-AE6C-30B199BA50F1}"/>
    <hyperlink ref="B127" r:id="rId76" display="https://www.minnesota-demographics.com/lac-qui-parle-county-demographics" xr:uid="{34C2335D-979F-1843-80F8-4B69855F34C9}"/>
    <hyperlink ref="B144" r:id="rId77" display="https://www.minnesota-demographics.com/norman-county-demographics" xr:uid="{07544767-B3E3-BA4E-A2D2-E18C37F9783A}"/>
    <hyperlink ref="B174" r:id="rId78" display="https://www.minnesota-demographics.com/wilkin-county-demographics" xr:uid="{5D5B1A2C-FCAE-3840-B163-2EF8933B4349}"/>
    <hyperlink ref="B116" r:id="rId79" display="https://www.minnesota-demographics.com/grant-county-demographics" xr:uid="{5291BA1B-BD15-364D-A5FF-EFBDB044AA75}"/>
    <hyperlink ref="B131" r:id="rId80" display="https://www.minnesota-demographics.com/lincoln-county-demographics" xr:uid="{D857FECF-1C22-8B43-9D41-4CDA679BB43D}"/>
    <hyperlink ref="B133" r:id="rId81" display="https://www.minnesota-demographics.com/mahnomen-county-demographics" xr:uid="{1BC0F882-F058-7A48-ACE1-0038FD71D299}"/>
    <hyperlink ref="B106" r:id="rId82" display="https://www.minnesota-demographics.com/cook-county-demographics" xr:uid="{C25E96FB-4C39-924A-9FC3-D7C2F38EAAF6}"/>
    <hyperlink ref="B96" r:id="rId83" display="https://www.minnesota-demographics.com/big-stone-county-demographics" xr:uid="{A14909CD-28AE-4341-9D91-43814750E6E3}"/>
    <hyperlink ref="B125" r:id="rId84" display="https://www.minnesota-demographics.com/kittson-county-demographics" xr:uid="{1CF95734-F262-4847-B41F-C7D736B0FF6A}"/>
    <hyperlink ref="B153" r:id="rId85" display="https://www.minnesota-demographics.com/red-lake-county-demographics" xr:uid="{5A2C7D44-6609-6746-9178-62F1968D8CE7}"/>
    <hyperlink ref="B129" r:id="rId86" display="https://www.minnesota-demographics.com/lake-of-the-woods-county-demographics" xr:uid="{CD36BF67-C1EB-624F-8105-95B903E9AE56}"/>
    <hyperlink ref="B168" r:id="rId87" display="https://www.minnesota-demographics.com/traverse-county-demographics" xr:uid="{CBCDD8A6-F2B6-C747-8364-9A4221E173F1}"/>
  </hyperlinks>
  <pageMargins left="0.7" right="0.7" top="0.75" bottom="0.75" header="0.3" footer="0.3"/>
  <tableParts count="3">
    <tablePart r:id="rId88"/>
    <tablePart r:id="rId89"/>
    <tablePart r:id="rId9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FAE2-3B5F-1842-8A54-01B924CE0A44}">
  <dimension ref="A1:R167"/>
  <sheetViews>
    <sheetView topLeftCell="C1" workbookViewId="0">
      <selection activeCell="Q2" sqref="Q2:Q4"/>
    </sheetView>
  </sheetViews>
  <sheetFormatPr baseColWidth="10" defaultRowHeight="13"/>
  <cols>
    <col min="1" max="1" width="14.1640625" customWidth="1"/>
    <col min="2" max="2" width="17" customWidth="1"/>
    <col min="3" max="3" width="17.33203125" customWidth="1"/>
    <col min="5" max="5" width="10.83203125" style="1"/>
    <col min="7" max="7" width="12.1640625" customWidth="1"/>
    <col min="8" max="8" width="18.33203125" customWidth="1"/>
    <col min="9" max="9" width="18.33203125" style="1" customWidth="1"/>
    <col min="10" max="10" width="15.5" customWidth="1"/>
    <col min="11" max="11" width="17.33203125" customWidth="1"/>
    <col min="12" max="12" width="17.33203125" style="1" customWidth="1"/>
    <col min="13" max="13" width="14.5" customWidth="1"/>
  </cols>
  <sheetData>
    <row r="1" spans="1:18" ht="21">
      <c r="A1" s="95" t="s">
        <v>64</v>
      </c>
      <c r="B1" s="95" t="s">
        <v>2007</v>
      </c>
      <c r="C1" s="95" t="s">
        <v>1674</v>
      </c>
      <c r="D1" s="95" t="s">
        <v>2046</v>
      </c>
      <c r="E1" s="95" t="s">
        <v>1677</v>
      </c>
      <c r="G1" s="15" t="s">
        <v>165</v>
      </c>
      <c r="H1" s="15" t="s">
        <v>166</v>
      </c>
      <c r="I1" s="15" t="s">
        <v>1677</v>
      </c>
      <c r="J1" s="15" t="s">
        <v>167</v>
      </c>
      <c r="K1" s="15" t="s">
        <v>168</v>
      </c>
      <c r="L1" s="15" t="s">
        <v>1687</v>
      </c>
      <c r="M1" s="15" t="s">
        <v>169</v>
      </c>
      <c r="N1" s="15" t="s">
        <v>62</v>
      </c>
      <c r="Q1" t="s">
        <v>267</v>
      </c>
      <c r="R1" t="s">
        <v>328</v>
      </c>
    </row>
    <row r="2" spans="1:18" ht="20">
      <c r="A2" s="96" t="s">
        <v>1094</v>
      </c>
      <c r="B2" s="96" t="s">
        <v>2008</v>
      </c>
      <c r="C2" s="96" t="s">
        <v>297</v>
      </c>
      <c r="D2" s="96">
        <v>80</v>
      </c>
      <c r="E2" s="96">
        <f>Table58[[#This Row],[2016]]/C86</f>
        <v>2.5720991544224028E-3</v>
      </c>
      <c r="G2" s="16" t="s">
        <v>1144</v>
      </c>
      <c r="H2" s="17">
        <v>5696</v>
      </c>
      <c r="I2" s="80">
        <f>Table59[[#This Row],[TRUMP VOTES]]/C86</f>
        <v>0.18313345979487508</v>
      </c>
      <c r="J2" s="18">
        <v>0.41399999999999998</v>
      </c>
      <c r="K2" s="17">
        <v>7917</v>
      </c>
      <c r="L2" s="80">
        <f>Table59[[#This Row],[BIDEN VOTES]]/C86</f>
        <v>0.25454136256952703</v>
      </c>
      <c r="M2" s="18">
        <v>0.57499999999999996</v>
      </c>
      <c r="N2" s="80">
        <f>1-(Table59[[#This Row],[NbP]]+Table59[[#This Row],[NbP2]])</f>
        <v>0.56232517763559786</v>
      </c>
      <c r="P2" t="s">
        <v>1671</v>
      </c>
      <c r="Q2">
        <f>CORREL(E:E,I:I)</f>
        <v>0.23856855247227876</v>
      </c>
      <c r="R2">
        <v>0.05</v>
      </c>
    </row>
    <row r="3" spans="1:18" ht="20">
      <c r="A3" s="96" t="s">
        <v>2009</v>
      </c>
      <c r="B3" s="96" t="s">
        <v>2008</v>
      </c>
      <c r="C3" s="96" t="s">
        <v>297</v>
      </c>
      <c r="D3" s="96">
        <v>149</v>
      </c>
      <c r="E3" s="96">
        <f>Table58[[#This Row],[2016]]/C87</f>
        <v>4.0207242700631444E-3</v>
      </c>
      <c r="G3" s="16" t="s">
        <v>2047</v>
      </c>
      <c r="H3" s="17">
        <v>12818</v>
      </c>
      <c r="I3" s="80">
        <f>Table59[[#This Row],[TRUMP VOTES]]/C87</f>
        <v>0.34589022613200926</v>
      </c>
      <c r="J3" s="18">
        <v>0.81200000000000006</v>
      </c>
      <c r="K3" s="17">
        <v>2782</v>
      </c>
      <c r="L3" s="80">
        <f>Table59[[#This Row],[BIDEN VOTES]]/C87</f>
        <v>7.507150952560851E-2</v>
      </c>
      <c r="M3" s="18">
        <v>0.17599999999999999</v>
      </c>
      <c r="N3" s="80">
        <f>1-(Table59[[#This Row],[NbP]]+Table59[[#This Row],[NbP2]])</f>
        <v>0.57903826434238226</v>
      </c>
      <c r="P3" t="s">
        <v>1672</v>
      </c>
      <c r="Q3">
        <f>CORREL(E:E,L:L)</f>
        <v>-0.27227409964066929</v>
      </c>
      <c r="R3">
        <v>0.05</v>
      </c>
    </row>
    <row r="4" spans="1:18" ht="20">
      <c r="A4" s="96" t="s">
        <v>2010</v>
      </c>
      <c r="B4" s="96" t="s">
        <v>2008</v>
      </c>
      <c r="C4" s="96" t="s">
        <v>297</v>
      </c>
      <c r="D4" s="96">
        <v>23</v>
      </c>
      <c r="E4" s="96">
        <f>Table58[[#This Row],[2016]]/C88</f>
        <v>1.863706344704643E-3</v>
      </c>
      <c r="G4" s="16" t="s">
        <v>2048</v>
      </c>
      <c r="H4" s="17">
        <v>4503</v>
      </c>
      <c r="I4" s="80">
        <f>Table59[[#This Row],[TRUMP VOTES]]/C88</f>
        <v>0.36488129000891339</v>
      </c>
      <c r="J4" s="18">
        <v>0.626</v>
      </c>
      <c r="K4" s="17">
        <v>2620</v>
      </c>
      <c r="L4" s="80">
        <f>Table59[[#This Row],[BIDEN VOTES]]/C88</f>
        <v>0.21230046187505064</v>
      </c>
      <c r="M4" s="18">
        <v>0.36399999999999999</v>
      </c>
      <c r="N4" s="80">
        <f>1-(Table59[[#This Row],[NbP]]+Table59[[#This Row],[NbP2]])</f>
        <v>0.42281824811603597</v>
      </c>
      <c r="P4" t="s">
        <v>1679</v>
      </c>
      <c r="Q4" s="37">
        <f>CORREL(E:E,N:N)</f>
        <v>3.4963911610502933E-2</v>
      </c>
      <c r="R4">
        <v>0.1</v>
      </c>
    </row>
    <row r="5" spans="1:18" ht="20">
      <c r="A5" s="96" t="s">
        <v>2011</v>
      </c>
      <c r="B5" s="96" t="s">
        <v>2008</v>
      </c>
      <c r="C5" s="96" t="s">
        <v>297</v>
      </c>
      <c r="D5" s="96">
        <v>33</v>
      </c>
      <c r="E5" s="96">
        <f>Table58[[#This Row],[2016]]/C89</f>
        <v>1.8024907144417741E-3</v>
      </c>
      <c r="G5" s="16" t="s">
        <v>2049</v>
      </c>
      <c r="H5" s="17">
        <v>5178</v>
      </c>
      <c r="I5" s="80">
        <f>Table59[[#This Row],[TRUMP VOTES]]/C89</f>
        <v>0.28282717937513657</v>
      </c>
      <c r="J5" s="18">
        <v>0.58699999999999997</v>
      </c>
      <c r="K5" s="17">
        <v>3542</v>
      </c>
      <c r="L5" s="80">
        <f>Table59[[#This Row],[BIDEN VOTES]]/C89</f>
        <v>0.19346733668341709</v>
      </c>
      <c r="M5" s="18">
        <v>0.40100000000000002</v>
      </c>
      <c r="N5" s="80">
        <f>1-(Table59[[#This Row],[NbP]]+Table59[[#This Row],[NbP2]])</f>
        <v>0.52370548394144634</v>
      </c>
    </row>
    <row r="6" spans="1:18" ht="20">
      <c r="A6" s="96" t="s">
        <v>73</v>
      </c>
      <c r="B6" s="96" t="s">
        <v>2008</v>
      </c>
      <c r="C6" s="96" t="s">
        <v>297</v>
      </c>
      <c r="D6" s="96">
        <v>22</v>
      </c>
      <c r="E6" s="96">
        <f>Table58[[#This Row],[2016]]/C90</f>
        <v>2.6586102719033233E-3</v>
      </c>
      <c r="G6" s="16" t="s">
        <v>172</v>
      </c>
      <c r="H6" s="17">
        <v>2570</v>
      </c>
      <c r="I6" s="80">
        <f>Table59[[#This Row],[TRUMP VOTES]]/C90</f>
        <v>0.31057401812688823</v>
      </c>
      <c r="J6" s="18">
        <v>0.59899999999999998</v>
      </c>
      <c r="K6" s="17">
        <v>1679</v>
      </c>
      <c r="L6" s="80">
        <f>Table59[[#This Row],[BIDEN VOTES]]/C90</f>
        <v>0.20290030211480362</v>
      </c>
      <c r="M6" s="18">
        <v>0.39100000000000001</v>
      </c>
      <c r="N6" s="80">
        <f>1-(Table59[[#This Row],[NbP]]+Table59[[#This Row],[NbP2]])</f>
        <v>0.48652567975830818</v>
      </c>
    </row>
    <row r="7" spans="1:18" ht="20">
      <c r="A7" s="96" t="s">
        <v>2012</v>
      </c>
      <c r="B7" s="96" t="s">
        <v>2008</v>
      </c>
      <c r="C7" s="96" t="s">
        <v>297</v>
      </c>
      <c r="D7" s="96">
        <v>57</v>
      </c>
      <c r="E7" s="96">
        <f>Table58[[#This Row],[2016]]/C91</f>
        <v>1.8238249128083705E-3</v>
      </c>
      <c r="G7" s="16" t="s">
        <v>2050</v>
      </c>
      <c r="H7" s="17">
        <v>4671</v>
      </c>
      <c r="I7" s="80">
        <f>Table59[[#This Row],[TRUMP VOTES]]/C91</f>
        <v>0.14945765206540171</v>
      </c>
      <c r="J7" s="18">
        <v>0.34</v>
      </c>
      <c r="K7" s="17">
        <v>8904</v>
      </c>
      <c r="L7" s="80">
        <f>Table59[[#This Row],[BIDEN VOTES]]/C91</f>
        <v>0.28490064953764438</v>
      </c>
      <c r="M7" s="18">
        <v>0.64800000000000002</v>
      </c>
      <c r="N7" s="80">
        <f>1-(Table59[[#This Row],[NbP]]+Table59[[#This Row],[NbP2]])</f>
        <v>0.56564169839695388</v>
      </c>
    </row>
    <row r="8" spans="1:18" ht="20">
      <c r="A8" s="96" t="s">
        <v>586</v>
      </c>
      <c r="B8" s="96" t="s">
        <v>2008</v>
      </c>
      <c r="C8" s="96" t="s">
        <v>297</v>
      </c>
      <c r="D8" s="96">
        <v>48</v>
      </c>
      <c r="E8" s="96">
        <f>Table58[[#This Row],[2016]]/C92</f>
        <v>3.3294027883748354E-3</v>
      </c>
      <c r="G8" s="16" t="s">
        <v>358</v>
      </c>
      <c r="H8" s="17">
        <v>4625</v>
      </c>
      <c r="I8" s="80">
        <f>Table59[[#This Row],[TRUMP VOTES]]/C92</f>
        <v>0.3208018311715336</v>
      </c>
      <c r="J8" s="18">
        <v>0.70199999999999996</v>
      </c>
      <c r="K8" s="17">
        <v>1902</v>
      </c>
      <c r="L8" s="80">
        <f>Table59[[#This Row],[BIDEN VOTES]]/C92</f>
        <v>0.13192758548935285</v>
      </c>
      <c r="M8" s="18">
        <v>0.28899999999999998</v>
      </c>
      <c r="N8" s="80">
        <f>1-(Table59[[#This Row],[NbP]]+Table59[[#This Row],[NbP2]])</f>
        <v>0.5472705833391136</v>
      </c>
    </row>
    <row r="9" spans="1:18" ht="20">
      <c r="A9" s="96" t="s">
        <v>79</v>
      </c>
      <c r="B9" s="96" t="s">
        <v>2008</v>
      </c>
      <c r="C9" s="96" t="s">
        <v>297</v>
      </c>
      <c r="D9" s="96">
        <v>11</v>
      </c>
      <c r="E9" s="96">
        <f>Table58[[#This Row],[2016]]/C93</f>
        <v>1.103088648215002E-3</v>
      </c>
      <c r="G9" s="16" t="s">
        <v>178</v>
      </c>
      <c r="H9" s="17">
        <v>3924</v>
      </c>
      <c r="I9" s="80">
        <f>Table59[[#This Row],[TRUMP VOTES]]/C93</f>
        <v>0.39350180505415161</v>
      </c>
      <c r="J9" s="18">
        <v>0.68799999999999994</v>
      </c>
      <c r="K9" s="17">
        <v>1729</v>
      </c>
      <c r="L9" s="80">
        <f>Table59[[#This Row],[BIDEN VOTES]]/C93</f>
        <v>0.17338547934215803</v>
      </c>
      <c r="M9" s="18">
        <v>0.30299999999999999</v>
      </c>
      <c r="N9" s="80">
        <f>1-(Table59[[#This Row],[NbP]]+Table59[[#This Row],[NbP2]])</f>
        <v>0.43311271560369036</v>
      </c>
    </row>
    <row r="10" spans="1:18" ht="20">
      <c r="A10" s="96" t="s">
        <v>1499</v>
      </c>
      <c r="B10" s="96" t="s">
        <v>2008</v>
      </c>
      <c r="C10" s="96" t="s">
        <v>297</v>
      </c>
      <c r="D10" s="96">
        <v>50</v>
      </c>
      <c r="E10" s="96">
        <f>Table58[[#This Row],[2016]]/C94</f>
        <v>2.9308323563892145E-3</v>
      </c>
      <c r="G10" s="16" t="s">
        <v>1541</v>
      </c>
      <c r="H10" s="17">
        <v>4175</v>
      </c>
      <c r="I10" s="80">
        <f>Table59[[#This Row],[TRUMP VOTES]]/C94</f>
        <v>0.24472450175849941</v>
      </c>
      <c r="J10" s="18">
        <v>0.51300000000000001</v>
      </c>
      <c r="K10" s="17">
        <v>3810</v>
      </c>
      <c r="L10" s="80">
        <f>Table59[[#This Row],[BIDEN VOTES]]/C94</f>
        <v>0.22332942555685814</v>
      </c>
      <c r="M10" s="18">
        <v>0.46800000000000003</v>
      </c>
      <c r="N10" s="80">
        <f>1-(Table59[[#This Row],[NbP]]+Table59[[#This Row],[NbP2]])</f>
        <v>0.53194607268464245</v>
      </c>
    </row>
    <row r="11" spans="1:18" ht="20">
      <c r="A11" s="96" t="s">
        <v>895</v>
      </c>
      <c r="B11" s="96" t="s">
        <v>2008</v>
      </c>
      <c r="C11" s="96" t="s">
        <v>297</v>
      </c>
      <c r="D11" s="96">
        <v>16</v>
      </c>
      <c r="E11" s="96">
        <f>Table58[[#This Row],[2016]]/C95</f>
        <v>1.9497928345113332E-3</v>
      </c>
      <c r="G11" s="16" t="s">
        <v>928</v>
      </c>
      <c r="H11" s="17">
        <v>3001</v>
      </c>
      <c r="I11" s="80">
        <f>Table59[[#This Row],[TRUMP VOTES]]/C95</f>
        <v>0.36570801852303192</v>
      </c>
      <c r="J11" s="18">
        <v>0.71099999999999997</v>
      </c>
      <c r="K11" s="17">
        <v>1185</v>
      </c>
      <c r="L11" s="80">
        <f>Table59[[#This Row],[BIDEN VOTES]]/C95</f>
        <v>0.14440653180599561</v>
      </c>
      <c r="M11" s="18">
        <v>0.28100000000000003</v>
      </c>
      <c r="N11" s="80">
        <f>1-(Table59[[#This Row],[NbP]]+Table59[[#This Row],[NbP2]])</f>
        <v>0.48988544967097247</v>
      </c>
    </row>
    <row r="12" spans="1:18" ht="20">
      <c r="A12" s="96" t="s">
        <v>83</v>
      </c>
      <c r="B12" s="96" t="s">
        <v>2008</v>
      </c>
      <c r="C12" s="96" t="s">
        <v>297</v>
      </c>
      <c r="D12" s="96">
        <v>20</v>
      </c>
      <c r="E12" s="96">
        <f>Table58[[#This Row],[2016]]/C96</f>
        <v>2.2119000221190004E-3</v>
      </c>
      <c r="G12" s="16" t="s">
        <v>182</v>
      </c>
      <c r="H12" s="19">
        <v>603</v>
      </c>
      <c r="I12" s="80">
        <f>Table59[[#This Row],[TRUMP VOTES]]/C96</f>
        <v>6.6688785666887851E-2</v>
      </c>
      <c r="J12" s="18">
        <v>0.13600000000000001</v>
      </c>
      <c r="K12" s="17">
        <v>3772</v>
      </c>
      <c r="L12" s="80">
        <f>Table59[[#This Row],[BIDEN VOTES]]/C96</f>
        <v>0.41716434417164344</v>
      </c>
      <c r="M12" s="18">
        <v>0.84799999999999998</v>
      </c>
      <c r="N12" s="80">
        <f>1-(Table59[[#This Row],[NbP]]+Table59[[#This Row],[NbP2]])</f>
        <v>0.51614687016146865</v>
      </c>
    </row>
    <row r="13" spans="1:18" ht="20">
      <c r="A13" s="96" t="s">
        <v>896</v>
      </c>
      <c r="B13" s="96" t="s">
        <v>2008</v>
      </c>
      <c r="C13" s="96" t="s">
        <v>297</v>
      </c>
      <c r="D13" s="96">
        <v>31</v>
      </c>
      <c r="E13" s="96">
        <f>Table58[[#This Row],[2016]]/C97</f>
        <v>1.9856520625160133E-3</v>
      </c>
      <c r="G13" s="16" t="s">
        <v>929</v>
      </c>
      <c r="H13" s="17">
        <v>5417</v>
      </c>
      <c r="I13" s="80">
        <f>Table59[[#This Row],[TRUMP VOTES]]/C97</f>
        <v>0.34697668460158854</v>
      </c>
      <c r="J13" s="18">
        <v>0.65</v>
      </c>
      <c r="K13" s="17">
        <v>2838</v>
      </c>
      <c r="L13" s="80">
        <f>Table59[[#This Row],[BIDEN VOTES]]/C97</f>
        <v>0.18178324365872406</v>
      </c>
      <c r="M13" s="18">
        <v>0.34</v>
      </c>
      <c r="N13" s="80">
        <f>1-(Table59[[#This Row],[NbP]]+Table59[[#This Row],[NbP2]])</f>
        <v>0.47124007173968741</v>
      </c>
    </row>
    <row r="14" spans="1:18" ht="20">
      <c r="A14" s="96" t="s">
        <v>84</v>
      </c>
      <c r="B14" s="96" t="s">
        <v>2008</v>
      </c>
      <c r="C14" s="96" t="s">
        <v>297</v>
      </c>
      <c r="D14" s="96">
        <v>37</v>
      </c>
      <c r="E14" s="96">
        <f>Table58[[#This Row],[2016]]/C98</f>
        <v>1.8959774532410966E-3</v>
      </c>
      <c r="G14" s="16" t="s">
        <v>183</v>
      </c>
      <c r="H14" s="17">
        <v>4181</v>
      </c>
      <c r="I14" s="80">
        <f>Table59[[#This Row],[TRUMP VOTES]]/C98</f>
        <v>0.21424545221624391</v>
      </c>
      <c r="J14" s="18">
        <v>0.41</v>
      </c>
      <c r="K14" s="17">
        <v>5844</v>
      </c>
      <c r="L14" s="80">
        <f>Table59[[#This Row],[BIDEN VOTES]]/C98</f>
        <v>0.29946195234435052</v>
      </c>
      <c r="M14" s="18">
        <v>0.57399999999999995</v>
      </c>
      <c r="N14" s="80">
        <f>1-(Table59[[#This Row],[NbP]]+Table59[[#This Row],[NbP2]])</f>
        <v>0.48629259543940551</v>
      </c>
    </row>
    <row r="15" spans="1:18" ht="20">
      <c r="A15" s="96" t="s">
        <v>2013</v>
      </c>
      <c r="B15" s="96" t="s">
        <v>2008</v>
      </c>
      <c r="C15" s="96" t="s">
        <v>297</v>
      </c>
      <c r="D15" s="96">
        <v>42</v>
      </c>
      <c r="E15" s="96">
        <f>Table58[[#This Row],[2016]]/C99</f>
        <v>1.8514436852545735E-3</v>
      </c>
      <c r="G15" s="16" t="s">
        <v>2051</v>
      </c>
      <c r="H15" s="17">
        <v>2375</v>
      </c>
      <c r="I15" s="80">
        <f>Table59[[#This Row],[TRUMP VOTES]]/C99</f>
        <v>0.10469473220189553</v>
      </c>
      <c r="J15" s="18">
        <v>0.27900000000000003</v>
      </c>
      <c r="K15" s="17">
        <v>6020</v>
      </c>
      <c r="L15" s="80">
        <f>Table59[[#This Row],[BIDEN VOTES]]/C99</f>
        <v>0.26537359488648887</v>
      </c>
      <c r="M15" s="18">
        <v>0.70799999999999996</v>
      </c>
      <c r="N15" s="80">
        <f>1-(Table59[[#This Row],[NbP]]+Table59[[#This Row],[NbP2]])</f>
        <v>0.62993167291161556</v>
      </c>
    </row>
    <row r="16" spans="1:18" ht="20">
      <c r="A16" s="96" t="s">
        <v>2014</v>
      </c>
      <c r="B16" s="96" t="s">
        <v>2008</v>
      </c>
      <c r="C16" s="96" t="s">
        <v>297</v>
      </c>
      <c r="D16" s="96">
        <v>60</v>
      </c>
      <c r="E16" s="96">
        <f>Table58[[#This Row],[2016]]/C100</f>
        <v>2.1172236141007092E-3</v>
      </c>
      <c r="G16" s="16" t="s">
        <v>2052</v>
      </c>
      <c r="H16" s="17">
        <v>6250</v>
      </c>
      <c r="I16" s="80">
        <f>Table59[[#This Row],[TRUMP VOTES]]/C100</f>
        <v>0.22054412646882388</v>
      </c>
      <c r="J16" s="18">
        <v>0.48499999999999999</v>
      </c>
      <c r="K16" s="17">
        <v>6470</v>
      </c>
      <c r="L16" s="80">
        <f>Table59[[#This Row],[BIDEN VOTES]]/C100</f>
        <v>0.22830727972052647</v>
      </c>
      <c r="M16" s="18">
        <v>0.502</v>
      </c>
      <c r="N16" s="80">
        <f>1-(Table59[[#This Row],[NbP]]+Table59[[#This Row],[NbP2]])</f>
        <v>0.55114859381064962</v>
      </c>
    </row>
    <row r="17" spans="1:14" ht="20">
      <c r="A17" s="96" t="s">
        <v>901</v>
      </c>
      <c r="B17" s="96" t="s">
        <v>2008</v>
      </c>
      <c r="C17" s="96" t="s">
        <v>297</v>
      </c>
      <c r="D17" s="96">
        <v>19</v>
      </c>
      <c r="E17" s="96">
        <f>Table58[[#This Row],[2016]]/C101</f>
        <v>1.0101010101010101E-3</v>
      </c>
      <c r="G17" s="16" t="s">
        <v>934</v>
      </c>
      <c r="H17" s="17">
        <v>5854</v>
      </c>
      <c r="I17" s="80">
        <f>Table59[[#This Row],[TRUMP VOTES]]/C101</f>
        <v>0.311217437533227</v>
      </c>
      <c r="J17" s="18">
        <v>0.625</v>
      </c>
      <c r="K17" s="17">
        <v>3416</v>
      </c>
      <c r="L17" s="80">
        <f>Table59[[#This Row],[BIDEN VOTES]]/C101</f>
        <v>0.18160552897395002</v>
      </c>
      <c r="M17" s="18">
        <v>0.36499999999999999</v>
      </c>
      <c r="N17" s="80">
        <f>1-(Table59[[#This Row],[NbP]]+Table59[[#This Row],[NbP2]])</f>
        <v>0.50717703349282295</v>
      </c>
    </row>
    <row r="18" spans="1:14" ht="20">
      <c r="A18" s="96" t="s">
        <v>2015</v>
      </c>
      <c r="B18" s="96" t="s">
        <v>2008</v>
      </c>
      <c r="C18" s="96" t="s">
        <v>297</v>
      </c>
      <c r="D18" s="96">
        <v>302</v>
      </c>
      <c r="E18" s="96">
        <f>Table58[[#This Row],[2016]]/C102</f>
        <v>1.6570099201123694E-3</v>
      </c>
      <c r="G18" s="16" t="s">
        <v>2053</v>
      </c>
      <c r="H18" s="17">
        <v>46462</v>
      </c>
      <c r="I18" s="80">
        <f>Table59[[#This Row],[TRUMP VOTES]]/C102</f>
        <v>0.25492713545781759</v>
      </c>
      <c r="J18" s="18">
        <v>0.61</v>
      </c>
      <c r="K18" s="17">
        <v>28265</v>
      </c>
      <c r="L18" s="80">
        <f>Table59[[#This Row],[BIDEN VOTES]]/C102</f>
        <v>0.15508405758932489</v>
      </c>
      <c r="M18" s="18">
        <v>0.371</v>
      </c>
      <c r="N18" s="80">
        <f>1-(Table59[[#This Row],[NbP]]+Table59[[#This Row],[NbP2]])</f>
        <v>0.58998880695285749</v>
      </c>
    </row>
    <row r="19" spans="1:14" ht="20">
      <c r="A19" s="96" t="s">
        <v>2016</v>
      </c>
      <c r="B19" s="96" t="s">
        <v>2008</v>
      </c>
      <c r="C19" s="96" t="s">
        <v>297</v>
      </c>
      <c r="D19" s="96">
        <v>195</v>
      </c>
      <c r="E19" s="96">
        <f>Table58[[#This Row],[2016]]/C103</f>
        <v>2.5943961044144646E-3</v>
      </c>
      <c r="G19" s="16" t="s">
        <v>2054</v>
      </c>
      <c r="H19" s="17">
        <v>17290</v>
      </c>
      <c r="I19" s="80">
        <f>Table59[[#This Row],[TRUMP VOTES]]/C103</f>
        <v>0.23003645459141586</v>
      </c>
      <c r="J19" s="18">
        <v>0.54600000000000004</v>
      </c>
      <c r="K19" s="17">
        <v>13755</v>
      </c>
      <c r="L19" s="80">
        <f>Table59[[#This Row],[BIDEN VOTES]]/C103</f>
        <v>0.18300470982677416</v>
      </c>
      <c r="M19" s="18">
        <v>0.435</v>
      </c>
      <c r="N19" s="80">
        <f>1-(Table59[[#This Row],[NbP]]+Table59[[#This Row],[NbP2]])</f>
        <v>0.58695883558180995</v>
      </c>
    </row>
    <row r="20" spans="1:14" ht="20">
      <c r="A20" s="96" t="s">
        <v>96</v>
      </c>
      <c r="B20" s="96" t="s">
        <v>2008</v>
      </c>
      <c r="C20" s="96" t="s">
        <v>297</v>
      </c>
      <c r="D20" s="96">
        <v>25</v>
      </c>
      <c r="E20" s="96">
        <f>Table58[[#This Row],[2016]]/C104</f>
        <v>3.2400207361327114E-3</v>
      </c>
      <c r="G20" s="16" t="s">
        <v>195</v>
      </c>
      <c r="H20" s="17">
        <v>2923</v>
      </c>
      <c r="I20" s="80">
        <f>Table59[[#This Row],[TRUMP VOTES]]/C104</f>
        <v>0.37882322446863659</v>
      </c>
      <c r="J20" s="18">
        <v>0.65500000000000003</v>
      </c>
      <c r="K20" s="17">
        <v>1480</v>
      </c>
      <c r="L20" s="80">
        <f>Table59[[#This Row],[BIDEN VOTES]]/C104</f>
        <v>0.1918092275790565</v>
      </c>
      <c r="M20" s="18">
        <v>0.33200000000000002</v>
      </c>
      <c r="N20" s="80">
        <f>1-(Table59[[#This Row],[NbP]]+Table59[[#This Row],[NbP2]])</f>
        <v>0.42936754795230692</v>
      </c>
    </row>
    <row r="21" spans="1:14" ht="20">
      <c r="A21" s="96" t="s">
        <v>2017</v>
      </c>
      <c r="B21" s="96" t="s">
        <v>2008</v>
      </c>
      <c r="C21" s="96" t="s">
        <v>297</v>
      </c>
      <c r="D21" s="96">
        <v>85</v>
      </c>
      <c r="E21" s="96">
        <f>Table58[[#This Row],[2016]]/C105</f>
        <v>3.5272636733338866E-3</v>
      </c>
      <c r="G21" s="16" t="s">
        <v>2055</v>
      </c>
      <c r="H21" s="17">
        <v>9713</v>
      </c>
      <c r="I21" s="80">
        <f>Table59[[#This Row],[TRUMP VOTES]]/C105</f>
        <v>0.40306249481284756</v>
      </c>
      <c r="J21" s="18">
        <v>0.879</v>
      </c>
      <c r="K21" s="17">
        <v>1218</v>
      </c>
      <c r="L21" s="80">
        <f>Table59[[#This Row],[BIDEN VOTES]]/C105</f>
        <v>5.0543613577890278E-2</v>
      </c>
      <c r="M21" s="18">
        <v>0.11</v>
      </c>
      <c r="N21" s="80">
        <f>1-(Table59[[#This Row],[NbP]]+Table59[[#This Row],[NbP2]])</f>
        <v>0.54639389160926211</v>
      </c>
    </row>
    <row r="22" spans="1:14" ht="20">
      <c r="A22" s="96" t="s">
        <v>100</v>
      </c>
      <c r="B22" s="96" t="s">
        <v>2008</v>
      </c>
      <c r="C22" s="96" t="s">
        <v>297</v>
      </c>
      <c r="D22" s="96">
        <v>30</v>
      </c>
      <c r="E22" s="96">
        <f>Table58[[#This Row],[2016]]/C106</f>
        <v>2.202804904912255E-3</v>
      </c>
      <c r="G22" s="16" t="s">
        <v>199</v>
      </c>
      <c r="H22" s="17">
        <v>4794</v>
      </c>
      <c r="I22" s="80">
        <f>Table59[[#This Row],[TRUMP VOTES]]/C106</f>
        <v>0.35200822380497832</v>
      </c>
      <c r="J22" s="18">
        <v>0.82499999999999996</v>
      </c>
      <c r="K22" s="19">
        <v>966</v>
      </c>
      <c r="L22" s="80">
        <f>Table59[[#This Row],[BIDEN VOTES]]/C106</f>
        <v>7.0930317938174614E-2</v>
      </c>
      <c r="M22" s="18">
        <v>0.16600000000000001</v>
      </c>
      <c r="N22" s="80">
        <f>1-(Table59[[#This Row],[NbP]]+Table59[[#This Row],[NbP2]])</f>
        <v>0.57706145825684707</v>
      </c>
    </row>
    <row r="23" spans="1:14" ht="20">
      <c r="A23" s="96" t="s">
        <v>2018</v>
      </c>
      <c r="B23" s="96" t="s">
        <v>2008</v>
      </c>
      <c r="C23" s="96" t="s">
        <v>297</v>
      </c>
      <c r="D23" s="96">
        <v>73</v>
      </c>
      <c r="E23" s="96">
        <f>Table58[[#This Row],[2016]]/C107</f>
        <v>3.488316528886128E-3</v>
      </c>
      <c r="G23" s="16" t="s">
        <v>2056</v>
      </c>
      <c r="H23" s="17">
        <v>6081</v>
      </c>
      <c r="I23" s="80">
        <f>Table59[[#This Row],[TRUMP VOTES]]/C107</f>
        <v>0.29058154537200748</v>
      </c>
      <c r="J23" s="18">
        <v>0.55700000000000005</v>
      </c>
      <c r="K23" s="17">
        <v>4734</v>
      </c>
      <c r="L23" s="80">
        <f>Table59[[#This Row],[BIDEN VOTES]]/C107</f>
        <v>0.2262149376403689</v>
      </c>
      <c r="M23" s="18">
        <v>0.434</v>
      </c>
      <c r="N23" s="80">
        <f>1-(Table59[[#This Row],[NbP]]+Table59[[#This Row],[NbP2]])</f>
        <v>0.48320351698762365</v>
      </c>
    </row>
    <row r="24" spans="1:14" ht="20">
      <c r="A24" s="96" t="s">
        <v>104</v>
      </c>
      <c r="B24" s="96" t="s">
        <v>2008</v>
      </c>
      <c r="C24" s="96" t="s">
        <v>297</v>
      </c>
      <c r="D24" s="96">
        <v>126</v>
      </c>
      <c r="E24" s="96">
        <f>Table58[[#This Row],[2016]]/C108</f>
        <v>2.6616531823654916E-3</v>
      </c>
      <c r="G24" s="16" t="s">
        <v>203</v>
      </c>
      <c r="H24" s="17">
        <v>16132</v>
      </c>
      <c r="I24" s="80">
        <f>Table59[[#This Row],[TRUMP VOTES]]/C108</f>
        <v>0.34077610426920718</v>
      </c>
      <c r="J24" s="18">
        <v>0.77</v>
      </c>
      <c r="K24" s="17">
        <v>4504</v>
      </c>
      <c r="L24" s="80">
        <f>Table59[[#This Row],[BIDEN VOTES]]/C108</f>
        <v>9.5143539153763279E-2</v>
      </c>
      <c r="M24" s="18">
        <v>0.215</v>
      </c>
      <c r="N24" s="80">
        <f>1-(Table59[[#This Row],[NbP]]+Table59[[#This Row],[NbP2]])</f>
        <v>0.5640803565770296</v>
      </c>
    </row>
    <row r="25" spans="1:14" ht="20">
      <c r="A25" s="96" t="s">
        <v>651</v>
      </c>
      <c r="B25" s="96" t="s">
        <v>2008</v>
      </c>
      <c r="C25" s="96" t="s">
        <v>297</v>
      </c>
      <c r="D25" s="96">
        <v>602</v>
      </c>
      <c r="E25" s="96">
        <f>Table58[[#This Row],[2016]]/C109</f>
        <v>2.9199346167464555E-3</v>
      </c>
      <c r="G25" s="16" t="s">
        <v>424</v>
      </c>
      <c r="H25" s="17">
        <v>46822</v>
      </c>
      <c r="I25" s="80">
        <f>Table59[[#This Row],[TRUMP VOTES]]/C109</f>
        <v>0.22710494788256236</v>
      </c>
      <c r="J25" s="18">
        <v>0.61799999999999999</v>
      </c>
      <c r="K25" s="17">
        <v>27728</v>
      </c>
      <c r="L25" s="80">
        <f>Table59[[#This Row],[BIDEN VOTES]]/C109</f>
        <v>0.13449160640057428</v>
      </c>
      <c r="M25" s="18">
        <v>0.36599999999999999</v>
      </c>
      <c r="N25" s="80">
        <f>1-(Table59[[#This Row],[NbP]]+Table59[[#This Row],[NbP2]])</f>
        <v>0.63840344571686336</v>
      </c>
    </row>
    <row r="26" spans="1:14" ht="20">
      <c r="A26" s="96" t="s">
        <v>2019</v>
      </c>
      <c r="B26" s="96" t="s">
        <v>2008</v>
      </c>
      <c r="C26" s="96" t="s">
        <v>297</v>
      </c>
      <c r="D26" s="96">
        <v>435</v>
      </c>
      <c r="E26" s="96">
        <f>Table58[[#This Row],[2016]]/C110</f>
        <v>1.8463183986689529E-3</v>
      </c>
      <c r="G26" s="16" t="s">
        <v>2057</v>
      </c>
      <c r="H26" s="17">
        <v>25141</v>
      </c>
      <c r="I26" s="80">
        <f>Table59[[#This Row],[TRUMP VOTES]]/C110</f>
        <v>0.10670871462284172</v>
      </c>
      <c r="J26" s="18">
        <v>0.251</v>
      </c>
      <c r="K26" s="17">
        <v>73550</v>
      </c>
      <c r="L26" s="80">
        <f>Table59[[#This Row],[BIDEN VOTES]]/C110</f>
        <v>0.31217636372896895</v>
      </c>
      <c r="M26" s="18">
        <v>0.73599999999999999</v>
      </c>
      <c r="N26" s="80">
        <f>1-(Table59[[#This Row],[NbP]]+Table59[[#This Row],[NbP2]])</f>
        <v>0.58111492164818934</v>
      </c>
    </row>
    <row r="27" spans="1:14" ht="20">
      <c r="A27" s="96" t="s">
        <v>2020</v>
      </c>
      <c r="B27" s="96" t="s">
        <v>2008</v>
      </c>
      <c r="C27" s="96" t="s">
        <v>297</v>
      </c>
      <c r="D27" s="96">
        <v>26</v>
      </c>
      <c r="E27" s="96">
        <f>Table58[[#This Row],[2016]]/C111</f>
        <v>1.4930515677041461E-3</v>
      </c>
      <c r="G27" s="16" t="s">
        <v>2058</v>
      </c>
      <c r="H27" s="17">
        <v>1369</v>
      </c>
      <c r="I27" s="80">
        <f>Table59[[#This Row],[TRUMP VOTES]]/C111</f>
        <v>7.8614907545652923E-2</v>
      </c>
      <c r="J27" s="18">
        <v>0.16900000000000001</v>
      </c>
      <c r="K27" s="17">
        <v>6588</v>
      </c>
      <c r="L27" s="80">
        <f>Table59[[#This Row],[BIDEN VOTES]]/C111</f>
        <v>0.37831629723211208</v>
      </c>
      <c r="M27" s="18">
        <v>0.81200000000000006</v>
      </c>
      <c r="N27" s="80">
        <f>1-(Table59[[#This Row],[NbP]]+Table59[[#This Row],[NbP2]])</f>
        <v>0.54306879522223506</v>
      </c>
    </row>
    <row r="28" spans="1:14" ht="20">
      <c r="A28" s="96" t="s">
        <v>113</v>
      </c>
      <c r="B28" s="96" t="s">
        <v>2008</v>
      </c>
      <c r="C28" s="96" t="s">
        <v>297</v>
      </c>
      <c r="D28" s="96">
        <v>31</v>
      </c>
      <c r="E28" s="96">
        <f>Table58[[#This Row],[2016]]/C112</f>
        <v>3.7814101000243961E-3</v>
      </c>
      <c r="G28" s="16" t="s">
        <v>212</v>
      </c>
      <c r="H28" s="17">
        <v>1118</v>
      </c>
      <c r="I28" s="80">
        <f>Table59[[#This Row],[TRUMP VOTES]]/C112</f>
        <v>0.13637472554281532</v>
      </c>
      <c r="J28" s="18">
        <v>0.26700000000000002</v>
      </c>
      <c r="K28" s="17">
        <v>3016</v>
      </c>
      <c r="L28" s="80">
        <f>Table59[[#This Row],[BIDEN VOTES]]/C112</f>
        <v>0.36789460844108318</v>
      </c>
      <c r="M28" s="18">
        <v>0.72</v>
      </c>
      <c r="N28" s="80">
        <f>1-(Table59[[#This Row],[NbP]]+Table59[[#This Row],[NbP2]])</f>
        <v>0.4957306660161015</v>
      </c>
    </row>
    <row r="29" spans="1:14" ht="20">
      <c r="A29" s="96" t="s">
        <v>2021</v>
      </c>
      <c r="B29" s="96" t="s">
        <v>2008</v>
      </c>
      <c r="C29" s="96" t="s">
        <v>297</v>
      </c>
      <c r="D29" s="96">
        <v>1</v>
      </c>
      <c r="E29" s="96">
        <f>Table58[[#This Row],[2016]]/C113</f>
        <v>8.1766148814390845E-4</v>
      </c>
      <c r="G29" s="16" t="s">
        <v>2059</v>
      </c>
      <c r="H29" s="19">
        <v>308</v>
      </c>
      <c r="I29" s="80">
        <f>Table59[[#This Row],[TRUMP VOTES]]/C113</f>
        <v>0.25183973834832379</v>
      </c>
      <c r="J29" s="18">
        <v>0.45600000000000002</v>
      </c>
      <c r="K29" s="19">
        <v>355</v>
      </c>
      <c r="L29" s="80">
        <f>Table59[[#This Row],[BIDEN VOTES]]/C113</f>
        <v>0.29026982829108749</v>
      </c>
      <c r="M29" s="18">
        <v>0.52500000000000002</v>
      </c>
      <c r="N29" s="80">
        <f>1-(Table59[[#This Row],[NbP]]+Table59[[#This Row],[NbP2]])</f>
        <v>0.45789043336058866</v>
      </c>
    </row>
    <row r="30" spans="1:14" ht="20">
      <c r="A30" s="96" t="s">
        <v>2022</v>
      </c>
      <c r="B30" s="96" t="s">
        <v>2008</v>
      </c>
      <c r="C30" s="96" t="s">
        <v>297</v>
      </c>
      <c r="D30" s="96">
        <v>117</v>
      </c>
      <c r="E30" s="96">
        <f>Table58[[#This Row],[2016]]/C114</f>
        <v>5.0008548469823904E-3</v>
      </c>
      <c r="G30" s="16" t="s">
        <v>2060</v>
      </c>
      <c r="H30" s="17">
        <v>9438</v>
      </c>
      <c r="I30" s="80">
        <f>Table59[[#This Row],[TRUMP VOTES]]/C114</f>
        <v>0.40340229098991282</v>
      </c>
      <c r="J30" s="18">
        <v>0.872</v>
      </c>
      <c r="K30" s="17">
        <v>1249</v>
      </c>
      <c r="L30" s="80">
        <f>Table59[[#This Row],[BIDEN VOTES]]/C114</f>
        <v>5.3385194050265004E-2</v>
      </c>
      <c r="M30" s="18">
        <v>0.115</v>
      </c>
      <c r="N30" s="80">
        <f>1-(Table59[[#This Row],[NbP]]+Table59[[#This Row],[NbP2]])</f>
        <v>0.54321251495982215</v>
      </c>
    </row>
    <row r="31" spans="1:14" ht="20">
      <c r="A31" s="96" t="s">
        <v>114</v>
      </c>
      <c r="B31" s="96" t="s">
        <v>2008</v>
      </c>
      <c r="C31" s="96" t="s">
        <v>297</v>
      </c>
      <c r="D31" s="96">
        <v>296</v>
      </c>
      <c r="E31" s="96">
        <f>Table58[[#This Row],[2016]]/C115</f>
        <v>2.0717845344084217E-3</v>
      </c>
      <c r="G31" s="16" t="s">
        <v>213</v>
      </c>
      <c r="H31" s="17">
        <v>36295</v>
      </c>
      <c r="I31" s="80">
        <f>Table59[[#This Row],[TRUMP VOTES]]/C115</f>
        <v>0.25403857998768126</v>
      </c>
      <c r="J31" s="18">
        <v>0.66500000000000004</v>
      </c>
      <c r="K31" s="17">
        <v>17375</v>
      </c>
      <c r="L31" s="80">
        <f>Table59[[#This Row],[BIDEN VOTES]]/C115</f>
        <v>0.1216123523153592</v>
      </c>
      <c r="M31" s="18">
        <v>0.31900000000000001</v>
      </c>
      <c r="N31" s="80">
        <f>1-(Table59[[#This Row],[NbP]]+Table59[[#This Row],[NbP2]])</f>
        <v>0.62434906769695953</v>
      </c>
    </row>
    <row r="32" spans="1:14" ht="20">
      <c r="A32" s="96" t="s">
        <v>667</v>
      </c>
      <c r="B32" s="96" t="s">
        <v>2008</v>
      </c>
      <c r="C32" s="96" t="s">
        <v>297</v>
      </c>
      <c r="D32" s="96">
        <v>14</v>
      </c>
      <c r="E32" s="96">
        <f>Table58[[#This Row],[2016]]/C116</f>
        <v>8.5085693448401609E-4</v>
      </c>
      <c r="G32" s="16" t="s">
        <v>440</v>
      </c>
      <c r="H32" s="17">
        <v>4302</v>
      </c>
      <c r="I32" s="80">
        <f>Table59[[#This Row],[TRUMP VOTES]]/C116</f>
        <v>0.26145618086787409</v>
      </c>
      <c r="J32" s="18">
        <v>0.49199999999999999</v>
      </c>
      <c r="K32" s="17">
        <v>4341</v>
      </c>
      <c r="L32" s="80">
        <f>Table59[[#This Row],[BIDEN VOTES]]/C116</f>
        <v>0.26382642518536525</v>
      </c>
      <c r="M32" s="18">
        <v>0.497</v>
      </c>
      <c r="N32" s="80">
        <f>1-(Table59[[#This Row],[NbP]]+Table59[[#This Row],[NbP2]])</f>
        <v>0.4747173939467606</v>
      </c>
    </row>
    <row r="33" spans="1:14" ht="20">
      <c r="A33" s="96" t="s">
        <v>115</v>
      </c>
      <c r="B33" s="96" t="s">
        <v>2008</v>
      </c>
      <c r="C33" s="96" t="s">
        <v>297</v>
      </c>
      <c r="D33" s="96">
        <v>21</v>
      </c>
      <c r="E33" s="96">
        <f>Table58[[#This Row],[2016]]/C117</f>
        <v>2.9457146864917943E-3</v>
      </c>
      <c r="G33" s="16" t="s">
        <v>214</v>
      </c>
      <c r="H33" s="19">
        <v>531</v>
      </c>
      <c r="I33" s="80">
        <f>Table59[[#This Row],[TRUMP VOTES]]/C117</f>
        <v>7.4484499929863932E-2</v>
      </c>
      <c r="J33" s="18">
        <v>0.13600000000000001</v>
      </c>
      <c r="K33" s="17">
        <v>3327</v>
      </c>
      <c r="L33" s="80">
        <f>Table59[[#This Row],[BIDEN VOTES]]/C117</f>
        <v>0.46668536961705709</v>
      </c>
      <c r="M33" s="18">
        <v>0.85099999999999998</v>
      </c>
      <c r="N33" s="80">
        <f>1-(Table59[[#This Row],[NbP]]+Table59[[#This Row],[NbP2]])</f>
        <v>0.45883013045307897</v>
      </c>
    </row>
    <row r="34" spans="1:14" ht="20">
      <c r="A34" s="96" t="s">
        <v>2023</v>
      </c>
      <c r="B34" s="96" t="s">
        <v>2008</v>
      </c>
      <c r="C34" s="96" t="s">
        <v>297</v>
      </c>
      <c r="D34" s="96">
        <v>15</v>
      </c>
      <c r="E34" s="96">
        <f>Table58[[#This Row],[2016]]/C118</f>
        <v>1.3414416025755679E-3</v>
      </c>
      <c r="G34" s="16" t="s">
        <v>2061</v>
      </c>
      <c r="H34" s="17">
        <v>2534</v>
      </c>
      <c r="I34" s="80">
        <f>Table59[[#This Row],[TRUMP VOTES]]/C118</f>
        <v>0.22661420139509927</v>
      </c>
      <c r="J34" s="18">
        <v>0.40799999999999997</v>
      </c>
      <c r="K34" s="17">
        <v>3599</v>
      </c>
      <c r="L34" s="80">
        <f>Table59[[#This Row],[BIDEN VOTES]]/C118</f>
        <v>0.32185655517796458</v>
      </c>
      <c r="M34" s="18">
        <v>0.57899999999999996</v>
      </c>
      <c r="N34" s="80">
        <f>1-(Table59[[#This Row],[NbP]]+Table59[[#This Row],[NbP2]])</f>
        <v>0.45152924342693612</v>
      </c>
    </row>
    <row r="35" spans="1:14" ht="20">
      <c r="A35" s="96" t="s">
        <v>671</v>
      </c>
      <c r="B35" s="96" t="s">
        <v>2008</v>
      </c>
      <c r="C35" s="96" t="s">
        <v>297</v>
      </c>
      <c r="D35" s="96">
        <v>131</v>
      </c>
      <c r="E35" s="96">
        <f>Table58[[#This Row],[2016]]/C119</f>
        <v>1.9178122300789085E-3</v>
      </c>
      <c r="G35" s="16" t="s">
        <v>444</v>
      </c>
      <c r="H35" s="17">
        <v>21226</v>
      </c>
      <c r="I35" s="80">
        <f>Table59[[#This Row],[TRUMP VOTES]]/C119</f>
        <v>0.31074414042484666</v>
      </c>
      <c r="J35" s="18">
        <v>0.70499999999999996</v>
      </c>
      <c r="K35" s="17">
        <v>8517</v>
      </c>
      <c r="L35" s="80">
        <f>Table59[[#This Row],[BIDEN VOTES]]/C119</f>
        <v>0.12468707453116079</v>
      </c>
      <c r="M35" s="18">
        <v>0.28299999999999997</v>
      </c>
      <c r="N35" s="80">
        <f>1-(Table59[[#This Row],[NbP]]+Table59[[#This Row],[NbP2]])</f>
        <v>0.56456878504399255</v>
      </c>
    </row>
    <row r="36" spans="1:14" ht="20">
      <c r="A36" s="96" t="s">
        <v>2024</v>
      </c>
      <c r="B36" s="96" t="s">
        <v>2008</v>
      </c>
      <c r="C36" s="96" t="s">
        <v>297</v>
      </c>
      <c r="D36" s="96">
        <v>8</v>
      </c>
      <c r="E36" s="96">
        <f>Table58[[#This Row],[2016]]/C120</f>
        <v>8.139179977617255E-4</v>
      </c>
      <c r="G36" s="16" t="s">
        <v>2062</v>
      </c>
      <c r="H36" s="17">
        <v>1787</v>
      </c>
      <c r="I36" s="80">
        <f>Table59[[#This Row],[TRUMP VOTES]]/C120</f>
        <v>0.18180893275002544</v>
      </c>
      <c r="J36" s="18">
        <v>0.378</v>
      </c>
      <c r="K36" s="17">
        <v>2887</v>
      </c>
      <c r="L36" s="80">
        <f>Table59[[#This Row],[BIDEN VOTES]]/C120</f>
        <v>0.29372265744226267</v>
      </c>
      <c r="M36" s="18">
        <v>0.61</v>
      </c>
      <c r="N36" s="80">
        <f>1-(Table59[[#This Row],[NbP]]+Table59[[#This Row],[NbP2]])</f>
        <v>0.52446840980771192</v>
      </c>
    </row>
    <row r="37" spans="1:14" ht="20">
      <c r="A37" s="96" t="s">
        <v>2025</v>
      </c>
      <c r="B37" s="96" t="s">
        <v>2008</v>
      </c>
      <c r="C37" s="96" t="s">
        <v>297</v>
      </c>
      <c r="D37" s="96">
        <v>62</v>
      </c>
      <c r="E37" s="96">
        <f>Table58[[#This Row],[2016]]/C121</f>
        <v>1.1468950591020921E-3</v>
      </c>
      <c r="G37" s="16" t="s">
        <v>2063</v>
      </c>
      <c r="H37" s="17">
        <v>12949</v>
      </c>
      <c r="I37" s="80">
        <f>Table59[[#This Row],[TRUMP VOTES]]/C121</f>
        <v>0.23953458258569341</v>
      </c>
      <c r="J37" s="18">
        <v>0.55300000000000005</v>
      </c>
      <c r="K37" s="17">
        <v>10070</v>
      </c>
      <c r="L37" s="80">
        <f>Table59[[#This Row],[BIDEN VOTES]]/C121</f>
        <v>0.18627795556706561</v>
      </c>
      <c r="M37" s="18">
        <v>0.43</v>
      </c>
      <c r="N37" s="80">
        <f>1-(Table59[[#This Row],[NbP]]+Table59[[#This Row],[NbP2]])</f>
        <v>0.57418746184724101</v>
      </c>
    </row>
    <row r="38" spans="1:14" ht="20">
      <c r="A38" s="96" t="s">
        <v>682</v>
      </c>
      <c r="B38" s="96" t="s">
        <v>2008</v>
      </c>
      <c r="C38" s="96" t="s">
        <v>297</v>
      </c>
      <c r="D38" s="96">
        <v>119</v>
      </c>
      <c r="E38" s="96">
        <f>Table58[[#This Row],[2016]]/C122</f>
        <v>1.8981385481632719E-3</v>
      </c>
      <c r="G38" s="16" t="s">
        <v>455</v>
      </c>
      <c r="H38" s="17">
        <v>20704</v>
      </c>
      <c r="I38" s="80">
        <f>Table59[[#This Row],[TRUMP VOTES]]/C122</f>
        <v>0.33024420589220488</v>
      </c>
      <c r="J38" s="18">
        <v>0.72699999999999998</v>
      </c>
      <c r="K38" s="17">
        <v>7340</v>
      </c>
      <c r="L38" s="80">
        <f>Table59[[#This Row],[BIDEN VOTES]]/C122</f>
        <v>0.11707846171023878</v>
      </c>
      <c r="M38" s="18">
        <v>0.25800000000000001</v>
      </c>
      <c r="N38" s="80">
        <f>1-(Table59[[#This Row],[NbP]]+Table59[[#This Row],[NbP2]])</f>
        <v>0.55267733239755634</v>
      </c>
    </row>
    <row r="39" spans="1:14" ht="20">
      <c r="A39" s="96" t="s">
        <v>119</v>
      </c>
      <c r="B39" s="96" t="s">
        <v>2008</v>
      </c>
      <c r="C39" s="96" t="s">
        <v>297</v>
      </c>
      <c r="D39" s="96">
        <v>130</v>
      </c>
      <c r="E39" s="96">
        <f>Table58[[#This Row],[2016]]/C123</f>
        <v>1.7205553423243378E-3</v>
      </c>
      <c r="G39" s="16" t="s">
        <v>218</v>
      </c>
      <c r="H39" s="17">
        <v>17967</v>
      </c>
      <c r="I39" s="80">
        <f>Table59[[#This Row],[TRUMP VOTES]]/C123</f>
        <v>0.23779398335031832</v>
      </c>
      <c r="J39" s="18">
        <v>0.57499999999999996</v>
      </c>
      <c r="K39" s="17">
        <v>12960</v>
      </c>
      <c r="L39" s="80">
        <f>Table59[[#This Row],[BIDEN VOTES]]/C123</f>
        <v>0.17152613258864169</v>
      </c>
      <c r="M39" s="18">
        <v>0.41499999999999998</v>
      </c>
      <c r="N39" s="80">
        <f>1-(Table59[[#This Row],[NbP]]+Table59[[#This Row],[NbP2]])</f>
        <v>0.59067988406103999</v>
      </c>
    </row>
    <row r="40" spans="1:14" ht="20">
      <c r="A40" s="96" t="s">
        <v>120</v>
      </c>
      <c r="B40" s="96" t="s">
        <v>2008</v>
      </c>
      <c r="C40" s="96" t="s">
        <v>297</v>
      </c>
      <c r="D40" s="96">
        <v>16</v>
      </c>
      <c r="E40" s="96">
        <f>Table58[[#This Row],[2016]]/C124</f>
        <v>1.2703453751488685E-3</v>
      </c>
      <c r="G40" s="16" t="s">
        <v>219</v>
      </c>
      <c r="H40" s="17">
        <v>4285</v>
      </c>
      <c r="I40" s="80">
        <f>Table59[[#This Row],[TRUMP VOTES]]/C124</f>
        <v>0.34021437078205635</v>
      </c>
      <c r="J40" s="18">
        <v>0.64800000000000002</v>
      </c>
      <c r="K40" s="17">
        <v>2260</v>
      </c>
      <c r="L40" s="80">
        <f>Table59[[#This Row],[BIDEN VOTES]]/C124</f>
        <v>0.1794362842397777</v>
      </c>
      <c r="M40" s="18">
        <v>0.34200000000000003</v>
      </c>
      <c r="N40" s="80">
        <f>1-(Table59[[#This Row],[NbP]]+Table59[[#This Row],[NbP2]])</f>
        <v>0.48034934497816595</v>
      </c>
    </row>
    <row r="41" spans="1:14" ht="20">
      <c r="A41" s="96" t="s">
        <v>2026</v>
      </c>
      <c r="B41" s="96" t="s">
        <v>2008</v>
      </c>
      <c r="C41" s="96" t="s">
        <v>297</v>
      </c>
      <c r="D41" s="96">
        <v>10</v>
      </c>
      <c r="E41" s="96">
        <f>Table58[[#This Row],[2016]]/C125</f>
        <v>4.387696897898293E-4</v>
      </c>
      <c r="G41" s="16" t="s">
        <v>2064</v>
      </c>
      <c r="H41" s="17">
        <v>5228</v>
      </c>
      <c r="I41" s="80">
        <f>Table59[[#This Row],[TRUMP VOTES]]/C125</f>
        <v>0.22938879382212277</v>
      </c>
      <c r="J41" s="18">
        <v>0.56799999999999995</v>
      </c>
      <c r="K41" s="17">
        <v>3897</v>
      </c>
      <c r="L41" s="80">
        <f>Table59[[#This Row],[BIDEN VOTES]]/C125</f>
        <v>0.17098854811109648</v>
      </c>
      <c r="M41" s="18">
        <v>0.42399999999999999</v>
      </c>
      <c r="N41" s="80">
        <f>1-(Table59[[#This Row],[NbP]]+Table59[[#This Row],[NbP2]])</f>
        <v>0.59962265806678072</v>
      </c>
    </row>
    <row r="42" spans="1:14" ht="20">
      <c r="A42" s="96" t="s">
        <v>687</v>
      </c>
      <c r="B42" s="96" t="s">
        <v>2008</v>
      </c>
      <c r="C42" s="96" t="s">
        <v>297</v>
      </c>
      <c r="D42" s="96">
        <v>266</v>
      </c>
      <c r="E42" s="96">
        <f>Table58[[#This Row],[2016]]/C126</f>
        <v>3.1182594016693236E-3</v>
      </c>
      <c r="G42" s="16" t="s">
        <v>459</v>
      </c>
      <c r="H42" s="17">
        <v>24207</v>
      </c>
      <c r="I42" s="80">
        <f>Table59[[#This Row],[TRUMP VOTES]]/C126</f>
        <v>0.28377332833161401</v>
      </c>
      <c r="J42" s="18">
        <v>0.65500000000000003</v>
      </c>
      <c r="K42" s="17">
        <v>12189</v>
      </c>
      <c r="L42" s="80">
        <f>Table59[[#This Row],[BIDEN VOTES]]/C126</f>
        <v>0.14288896183062927</v>
      </c>
      <c r="M42" s="18">
        <v>0.33</v>
      </c>
      <c r="N42" s="80">
        <f>1-(Table59[[#This Row],[NbP]]+Table59[[#This Row],[NbP2]])</f>
        <v>0.57333770983775678</v>
      </c>
    </row>
    <row r="43" spans="1:14" ht="20">
      <c r="A43" s="96" t="s">
        <v>2027</v>
      </c>
      <c r="B43" s="96" t="s">
        <v>2008</v>
      </c>
      <c r="C43" s="96" t="s">
        <v>297</v>
      </c>
      <c r="D43" s="96">
        <v>36</v>
      </c>
      <c r="E43" s="96">
        <f>Table58[[#This Row],[2016]]/C127</f>
        <v>1.2515644555694619E-3</v>
      </c>
      <c r="G43" s="16" t="s">
        <v>2065</v>
      </c>
      <c r="H43" s="17">
        <v>3129</v>
      </c>
      <c r="I43" s="80">
        <f>Table59[[#This Row],[TRUMP VOTES]]/C127</f>
        <v>0.10878181059657906</v>
      </c>
      <c r="J43" s="18">
        <v>0.28699999999999998</v>
      </c>
      <c r="K43" s="17">
        <v>7648</v>
      </c>
      <c r="L43" s="80">
        <f>Table59[[#This Row],[BIDEN VOTES]]/C127</f>
        <v>0.2658879154498679</v>
      </c>
      <c r="M43" s="18">
        <v>0.70199999999999996</v>
      </c>
      <c r="N43" s="80">
        <f>1-(Table59[[#This Row],[NbP]]+Table59[[#This Row],[NbP2]])</f>
        <v>0.62533027395355312</v>
      </c>
    </row>
    <row r="44" spans="1:14" ht="20">
      <c r="A44" s="96" t="s">
        <v>122</v>
      </c>
      <c r="B44" s="96" t="s">
        <v>2008</v>
      </c>
      <c r="C44" s="96" t="s">
        <v>297</v>
      </c>
      <c r="D44" s="96">
        <v>79</v>
      </c>
      <c r="E44" s="96">
        <f>Table58[[#This Row],[2016]]/C128</f>
        <v>2.3101441646928094E-3</v>
      </c>
      <c r="G44" s="16" t="s">
        <v>221</v>
      </c>
      <c r="H44" s="17">
        <v>11596</v>
      </c>
      <c r="I44" s="80">
        <f>Table59[[#This Row],[TRUMP VOTES]]/C128</f>
        <v>0.33909407257946605</v>
      </c>
      <c r="J44" s="18">
        <v>0.69</v>
      </c>
      <c r="K44" s="17">
        <v>5040</v>
      </c>
      <c r="L44" s="80">
        <f>Table59[[#This Row],[BIDEN VOTES]]/C128</f>
        <v>0.1473813492411615</v>
      </c>
      <c r="M44" s="18">
        <v>0.3</v>
      </c>
      <c r="N44" s="80">
        <f>1-(Table59[[#This Row],[NbP]]+Table59[[#This Row],[NbP2]])</f>
        <v>0.51352457817937247</v>
      </c>
    </row>
    <row r="45" spans="1:14" ht="20">
      <c r="A45" s="96" t="s">
        <v>909</v>
      </c>
      <c r="B45" s="96" t="s">
        <v>2008</v>
      </c>
      <c r="C45" s="96" t="s">
        <v>297</v>
      </c>
      <c r="D45" s="96">
        <v>99</v>
      </c>
      <c r="E45" s="96">
        <f>Table58[[#This Row],[2016]]/C129</f>
        <v>1.6809290953545232E-3</v>
      </c>
      <c r="G45" s="16" t="s">
        <v>941</v>
      </c>
      <c r="H45" s="17">
        <v>13800</v>
      </c>
      <c r="I45" s="80">
        <f>Table59[[#This Row],[TRUMP VOTES]]/C129</f>
        <v>0.23431132844335778</v>
      </c>
      <c r="J45" s="18">
        <v>0.50700000000000001</v>
      </c>
      <c r="K45" s="17">
        <v>13087</v>
      </c>
      <c r="L45" s="80">
        <f>Table59[[#This Row],[BIDEN VOTES]]/C129</f>
        <v>0.22220524314045095</v>
      </c>
      <c r="M45" s="18">
        <v>0.48</v>
      </c>
      <c r="N45" s="80">
        <f>1-(Table59[[#This Row],[NbP]]+Table59[[#This Row],[NbP2]])</f>
        <v>0.54348342841619124</v>
      </c>
    </row>
    <row r="46" spans="1:14" ht="20">
      <c r="A46" s="96" t="s">
        <v>125</v>
      </c>
      <c r="B46" s="96" t="s">
        <v>2008</v>
      </c>
      <c r="C46" s="96" t="s">
        <v>297</v>
      </c>
      <c r="D46" s="96">
        <v>41</v>
      </c>
      <c r="E46" s="96">
        <f>Table58[[#This Row],[2016]]/C130</f>
        <v>3.886919095201077E-4</v>
      </c>
      <c r="G46" s="16" t="s">
        <v>226</v>
      </c>
      <c r="H46" s="17">
        <v>31091</v>
      </c>
      <c r="I46" s="80">
        <f>Table59[[#This Row],[TRUMP VOTES]]/C130</f>
        <v>0.29475171119243093</v>
      </c>
      <c r="J46" s="18">
        <v>0.55300000000000005</v>
      </c>
      <c r="K46" s="17">
        <v>24440</v>
      </c>
      <c r="L46" s="80">
        <f>Table59[[#This Row],[BIDEN VOTES]]/C130</f>
        <v>0.23169829923588858</v>
      </c>
      <c r="M46" s="18">
        <v>0.435</v>
      </c>
      <c r="N46" s="80">
        <f>1-(Table59[[#This Row],[NbP]]+Table59[[#This Row],[NbP2]])</f>
        <v>0.47354998957168049</v>
      </c>
    </row>
    <row r="47" spans="1:14" ht="20">
      <c r="A47" s="96" t="s">
        <v>126</v>
      </c>
      <c r="B47" s="96" t="s">
        <v>2008</v>
      </c>
      <c r="C47" s="96" t="s">
        <v>297</v>
      </c>
      <c r="D47" s="96">
        <v>167</v>
      </c>
      <c r="E47" s="96">
        <f>Table58[[#This Row],[2016]]/C131</f>
        <v>6.7379463385111964E-3</v>
      </c>
      <c r="G47" s="16" t="s">
        <v>227</v>
      </c>
      <c r="H47" s="17">
        <v>8273</v>
      </c>
      <c r="I47" s="80">
        <f>Table59[[#This Row],[TRUMP VOTES]]/C131</f>
        <v>0.33379059915271331</v>
      </c>
      <c r="J47" s="18">
        <v>0.67900000000000005</v>
      </c>
      <c r="K47" s="17">
        <v>3787</v>
      </c>
      <c r="L47" s="80">
        <f>Table59[[#This Row],[BIDEN VOTES]]/C131</f>
        <v>0.15279402864635869</v>
      </c>
      <c r="M47" s="18">
        <v>0.311</v>
      </c>
      <c r="N47" s="80">
        <f>1-(Table59[[#This Row],[NbP]]+Table59[[#This Row],[NbP2]])</f>
        <v>0.51341537220092803</v>
      </c>
    </row>
    <row r="48" spans="1:14" ht="20">
      <c r="A48" s="96" t="s">
        <v>127</v>
      </c>
      <c r="B48" s="96" t="s">
        <v>2008</v>
      </c>
      <c r="C48" s="96" t="s">
        <v>297</v>
      </c>
      <c r="D48" s="96">
        <v>68</v>
      </c>
      <c r="E48" s="96">
        <f>Table58[[#This Row],[2016]]/C132</f>
        <v>1.9153850487296491E-3</v>
      </c>
      <c r="G48" s="16" t="s">
        <v>228</v>
      </c>
      <c r="H48" s="17">
        <v>7566</v>
      </c>
      <c r="I48" s="80">
        <f>Table59[[#This Row],[TRUMP VOTES]]/C132</f>
        <v>0.21311475409836064</v>
      </c>
      <c r="J48" s="18">
        <v>0.47799999999999998</v>
      </c>
      <c r="K48" s="17">
        <v>8057</v>
      </c>
      <c r="L48" s="80">
        <f>Table59[[#This Row],[BIDEN VOTES]]/C132</f>
        <v>0.22694496084727622</v>
      </c>
      <c r="M48" s="18">
        <v>0.50900000000000001</v>
      </c>
      <c r="N48" s="80">
        <f>1-(Table59[[#This Row],[NbP]]+Table59[[#This Row],[NbP2]])</f>
        <v>0.55994028505436311</v>
      </c>
    </row>
    <row r="49" spans="1:14" ht="20">
      <c r="A49" s="96" t="s">
        <v>132</v>
      </c>
      <c r="B49" s="96" t="s">
        <v>2008</v>
      </c>
      <c r="C49" s="96" t="s">
        <v>297</v>
      </c>
      <c r="D49" s="96">
        <v>95</v>
      </c>
      <c r="E49" s="96">
        <f>Table58[[#This Row],[2016]]/C133</f>
        <v>2.6716161871818667E-3</v>
      </c>
      <c r="G49" s="16" t="s">
        <v>231</v>
      </c>
      <c r="H49" s="17">
        <v>11177</v>
      </c>
      <c r="I49" s="80">
        <f>Table59[[#This Row],[TRUMP VOTES]]/C133</f>
        <v>0.31432267499086025</v>
      </c>
      <c r="J49" s="18">
        <v>0.64800000000000002</v>
      </c>
      <c r="K49" s="17">
        <v>5874</v>
      </c>
      <c r="L49" s="80">
        <f>Table59[[#This Row],[BIDEN VOTES]]/C133</f>
        <v>0.16519024719480299</v>
      </c>
      <c r="M49" s="18">
        <v>0.34</v>
      </c>
      <c r="N49" s="80">
        <f>1-(Table59[[#This Row],[NbP]]+Table59[[#This Row],[NbP2]])</f>
        <v>0.52048707781433678</v>
      </c>
    </row>
    <row r="50" spans="1:14" ht="20">
      <c r="A50" s="96" t="s">
        <v>133</v>
      </c>
      <c r="B50" s="96" t="s">
        <v>2008</v>
      </c>
      <c r="C50" s="96" t="s">
        <v>297</v>
      </c>
      <c r="D50" s="96">
        <v>18</v>
      </c>
      <c r="E50" s="96">
        <f>Table58[[#This Row],[2016]]/C134</f>
        <v>1.8079550020088388E-3</v>
      </c>
      <c r="G50" s="16" t="s">
        <v>232</v>
      </c>
      <c r="H50" s="17">
        <v>2917</v>
      </c>
      <c r="I50" s="80">
        <f>Table59[[#This Row],[TRUMP VOTES]]/C134</f>
        <v>0.29298915226998795</v>
      </c>
      <c r="J50" s="18">
        <v>0.57499999999999996</v>
      </c>
      <c r="K50" s="17">
        <v>2121</v>
      </c>
      <c r="L50" s="80">
        <f>Table59[[#This Row],[BIDEN VOTES]]/C134</f>
        <v>0.21303736440337484</v>
      </c>
      <c r="M50" s="18">
        <v>0.41799999999999998</v>
      </c>
      <c r="N50" s="80">
        <f>1-(Table59[[#This Row],[NbP]]+Table59[[#This Row],[NbP2]])</f>
        <v>0.49397348332663715</v>
      </c>
    </row>
    <row r="51" spans="1:14" ht="20">
      <c r="A51" s="96" t="s">
        <v>2028</v>
      </c>
      <c r="B51" s="96" t="s">
        <v>2008</v>
      </c>
      <c r="C51" s="96" t="s">
        <v>297</v>
      </c>
      <c r="D51" s="96">
        <v>67</v>
      </c>
      <c r="E51" s="96">
        <f>Table58[[#This Row],[2016]]/C135</f>
        <v>2.2905982905982907E-3</v>
      </c>
      <c r="G51" s="16" t="s">
        <v>2066</v>
      </c>
      <c r="H51" s="17">
        <v>8320</v>
      </c>
      <c r="I51" s="80">
        <f>Table59[[#This Row],[TRUMP VOTES]]/C135</f>
        <v>0.28444444444444444</v>
      </c>
      <c r="J51" s="18">
        <v>0.71099999999999997</v>
      </c>
      <c r="K51" s="17">
        <v>3260</v>
      </c>
      <c r="L51" s="80">
        <f>Table59[[#This Row],[BIDEN VOTES]]/C135</f>
        <v>0.11145299145299145</v>
      </c>
      <c r="M51" s="18">
        <v>0.27900000000000003</v>
      </c>
      <c r="N51" s="80">
        <f>1-(Table59[[#This Row],[NbP]]+Table59[[#This Row],[NbP2]])</f>
        <v>0.60410256410256413</v>
      </c>
    </row>
    <row r="52" spans="1:14" ht="20">
      <c r="A52" s="96" t="s">
        <v>715</v>
      </c>
      <c r="B52" s="96" t="s">
        <v>2008</v>
      </c>
      <c r="C52" s="96" t="s">
        <v>297</v>
      </c>
      <c r="D52" s="96">
        <v>25</v>
      </c>
      <c r="E52" s="96">
        <f>Table58[[#This Row],[2016]]/C136</f>
        <v>1.1784115012962526E-3</v>
      </c>
      <c r="G52" s="16" t="s">
        <v>487</v>
      </c>
      <c r="H52" s="17">
        <v>6997</v>
      </c>
      <c r="I52" s="80">
        <f>Table59[[#This Row],[TRUMP VOTES]]/C136</f>
        <v>0.32981381098279522</v>
      </c>
      <c r="J52" s="18">
        <v>0.68700000000000006</v>
      </c>
      <c r="K52" s="17">
        <v>3075</v>
      </c>
      <c r="L52" s="80">
        <f>Table59[[#This Row],[BIDEN VOTES]]/C136</f>
        <v>0.14494461465943909</v>
      </c>
      <c r="M52" s="18">
        <v>0.30199999999999999</v>
      </c>
      <c r="N52" s="80">
        <f>1-(Table59[[#This Row],[NbP]]+Table59[[#This Row],[NbP2]])</f>
        <v>0.52524157435776564</v>
      </c>
    </row>
    <row r="53" spans="1:14" ht="20">
      <c r="A53" s="96" t="s">
        <v>2029</v>
      </c>
      <c r="B53" s="96" t="s">
        <v>2008</v>
      </c>
      <c r="C53" s="96" t="s">
        <v>297</v>
      </c>
      <c r="D53" s="96">
        <v>22</v>
      </c>
      <c r="E53" s="96">
        <f>Table58[[#This Row],[2016]]/C137</f>
        <v>2.0821502933939052E-3</v>
      </c>
      <c r="G53" s="16" t="s">
        <v>2067</v>
      </c>
      <c r="H53" s="17">
        <v>1240</v>
      </c>
      <c r="I53" s="80">
        <f>Table59[[#This Row],[TRUMP VOTES]]/C137</f>
        <v>0.11735756199129282</v>
      </c>
      <c r="J53" s="18">
        <v>0.23200000000000001</v>
      </c>
      <c r="K53" s="17">
        <v>4040</v>
      </c>
      <c r="L53" s="80">
        <f>Table59[[#This Row],[BIDEN VOTES]]/C137</f>
        <v>0.38235850842324437</v>
      </c>
      <c r="M53" s="18">
        <v>0.75700000000000001</v>
      </c>
      <c r="N53" s="80">
        <f>1-(Table59[[#This Row],[NbP]]+Table59[[#This Row],[NbP2]])</f>
        <v>0.50028392958546286</v>
      </c>
    </row>
    <row r="54" spans="1:14" ht="20">
      <c r="A54" s="96" t="s">
        <v>2030</v>
      </c>
      <c r="B54" s="96" t="s">
        <v>2008</v>
      </c>
      <c r="C54" s="96" t="s">
        <v>297</v>
      </c>
      <c r="D54" s="96">
        <v>65</v>
      </c>
      <c r="E54" s="96">
        <f>Table58[[#This Row],[2016]]/C138</f>
        <v>1.3106688443933619E-3</v>
      </c>
      <c r="G54" s="16" t="s">
        <v>2068</v>
      </c>
      <c r="H54" s="17">
        <v>9004</v>
      </c>
      <c r="I54" s="80">
        <f>Table59[[#This Row],[TRUMP VOTES]]/C138</f>
        <v>0.18155788115258201</v>
      </c>
      <c r="J54" s="18">
        <v>0.45600000000000002</v>
      </c>
      <c r="K54" s="17">
        <v>10299</v>
      </c>
      <c r="L54" s="80">
        <f>Table59[[#This Row],[BIDEN VOTES]]/C138</f>
        <v>0.20767043736011132</v>
      </c>
      <c r="M54" s="18">
        <v>0.52100000000000002</v>
      </c>
      <c r="N54" s="80">
        <f>1-(Table59[[#This Row],[NbP]]+Table59[[#This Row],[NbP2]])</f>
        <v>0.61077168148730665</v>
      </c>
    </row>
    <row r="55" spans="1:14" ht="20">
      <c r="A55" s="96" t="s">
        <v>722</v>
      </c>
      <c r="B55" s="96" t="s">
        <v>2008</v>
      </c>
      <c r="C55" s="96" t="s">
        <v>297</v>
      </c>
      <c r="D55" s="96">
        <v>45</v>
      </c>
      <c r="E55" s="96">
        <f>Table58[[#This Row],[2016]]/C139</f>
        <v>1.3204612811408786E-3</v>
      </c>
      <c r="G55" s="16" t="s">
        <v>493</v>
      </c>
      <c r="H55" s="17">
        <v>8060</v>
      </c>
      <c r="I55" s="80">
        <f>Table59[[#This Row],[TRUMP VOTES]]/C139</f>
        <v>0.23650928724434403</v>
      </c>
      <c r="J55" s="18">
        <v>0.51600000000000001</v>
      </c>
      <c r="K55" s="17">
        <v>7403</v>
      </c>
      <c r="L55" s="80">
        <f>Table59[[#This Row],[BIDEN VOTES]]/C139</f>
        <v>0.21723055253968721</v>
      </c>
      <c r="M55" s="18">
        <v>0.47399999999999998</v>
      </c>
      <c r="N55" s="80">
        <f>1-(Table59[[#This Row],[NbP]]+Table59[[#This Row],[NbP2]])</f>
        <v>0.54626016021596879</v>
      </c>
    </row>
    <row r="56" spans="1:14" ht="20">
      <c r="A56" s="96" t="s">
        <v>2031</v>
      </c>
      <c r="B56" s="96" t="s">
        <v>2008</v>
      </c>
      <c r="C56" s="96" t="s">
        <v>297</v>
      </c>
      <c r="D56" s="96">
        <v>129</v>
      </c>
      <c r="E56" s="96">
        <f>Table58[[#This Row],[2016]]/C140</f>
        <v>2.3238218763510592E-3</v>
      </c>
      <c r="G56" s="16" t="s">
        <v>2069</v>
      </c>
      <c r="H56" s="17">
        <v>19595</v>
      </c>
      <c r="I56" s="80">
        <f>Table59[[#This Row],[TRUMP VOTES]]/C140</f>
        <v>0.35298674160541865</v>
      </c>
      <c r="J56" s="18">
        <v>0.81499999999999995</v>
      </c>
      <c r="K56" s="17">
        <v>4148</v>
      </c>
      <c r="L56" s="80">
        <f>Table59[[#This Row],[BIDEN VOTES]]/C140</f>
        <v>7.4722582504683666E-2</v>
      </c>
      <c r="M56" s="18">
        <v>0.17299999999999999</v>
      </c>
      <c r="N56" s="80">
        <f>1-(Table59[[#This Row],[NbP]]+Table59[[#This Row],[NbP2]])</f>
        <v>0.57229067588989768</v>
      </c>
    </row>
    <row r="57" spans="1:14" ht="20">
      <c r="A57" s="96" t="s">
        <v>138</v>
      </c>
      <c r="B57" s="96" t="s">
        <v>2008</v>
      </c>
      <c r="C57" s="96" t="s">
        <v>297</v>
      </c>
      <c r="D57" s="96">
        <v>22</v>
      </c>
      <c r="E57" s="96">
        <f>Table58[[#This Row],[2016]]/C141</f>
        <v>1.8362407144645689E-3</v>
      </c>
      <c r="G57" s="16" t="s">
        <v>237</v>
      </c>
      <c r="H57" s="17">
        <v>4500</v>
      </c>
      <c r="I57" s="80">
        <f>Table59[[#This Row],[TRUMP VOTES]]/C141</f>
        <v>0.37559469159502545</v>
      </c>
      <c r="J57" s="18">
        <v>0.76100000000000001</v>
      </c>
      <c r="K57" s="17">
        <v>1362</v>
      </c>
      <c r="L57" s="80">
        <f>Table59[[#This Row],[BIDEN VOTES]]/C141</f>
        <v>0.11367999332276103</v>
      </c>
      <c r="M57" s="18">
        <v>0.23</v>
      </c>
      <c r="N57" s="80">
        <f>1-(Table59[[#This Row],[NbP]]+Table59[[#This Row],[NbP2]])</f>
        <v>0.51072531508221353</v>
      </c>
    </row>
    <row r="58" spans="1:14" ht="20">
      <c r="A58" s="96" t="s">
        <v>913</v>
      </c>
      <c r="B58" s="96" t="s">
        <v>2008</v>
      </c>
      <c r="C58" s="96" t="s">
        <v>297</v>
      </c>
      <c r="D58" s="96">
        <v>237</v>
      </c>
      <c r="E58" s="96">
        <f>Table58[[#This Row],[2016]]/C142</f>
        <v>6.0205766543884164E-3</v>
      </c>
      <c r="G58" s="16" t="s">
        <v>945</v>
      </c>
      <c r="H58" s="17">
        <v>8479</v>
      </c>
      <c r="I58" s="80">
        <f>Table59[[#This Row],[TRUMP VOTES]]/C142</f>
        <v>0.21539438587577797</v>
      </c>
      <c r="J58" s="18">
        <v>0.48899999999999999</v>
      </c>
      <c r="K58" s="17">
        <v>8646</v>
      </c>
      <c r="L58" s="80">
        <f>Table59[[#This Row],[BIDEN VOTES]]/C142</f>
        <v>0.21963673313857487</v>
      </c>
      <c r="M58" s="18">
        <v>0.499</v>
      </c>
      <c r="N58" s="80">
        <f>1-(Table59[[#This Row],[NbP]]+Table59[[#This Row],[NbP2]])</f>
        <v>0.56496888098564713</v>
      </c>
    </row>
    <row r="59" spans="1:14" ht="20">
      <c r="A59" s="96" t="s">
        <v>2032</v>
      </c>
      <c r="B59" s="96" t="s">
        <v>2008</v>
      </c>
      <c r="C59" s="96" t="s">
        <v>297</v>
      </c>
      <c r="D59" s="96">
        <v>168</v>
      </c>
      <c r="E59" s="96">
        <f>Table58[[#This Row],[2016]]/C143</f>
        <v>5.2506563320415048E-3</v>
      </c>
      <c r="G59" s="16" t="s">
        <v>2070</v>
      </c>
      <c r="H59" s="17">
        <v>11550</v>
      </c>
      <c r="I59" s="80">
        <f>Table59[[#This Row],[TRUMP VOTES]]/C143</f>
        <v>0.36098262282785348</v>
      </c>
      <c r="J59" s="18">
        <v>0.80400000000000005</v>
      </c>
      <c r="K59" s="17">
        <v>2614</v>
      </c>
      <c r="L59" s="80">
        <f>Table59[[#This Row],[BIDEN VOTES]]/C143</f>
        <v>8.1697712214026746E-2</v>
      </c>
      <c r="M59" s="18">
        <v>0.182</v>
      </c>
      <c r="N59" s="80">
        <f>1-(Table59[[#This Row],[NbP]]+Table59[[#This Row],[NbP2]])</f>
        <v>0.5573196649581198</v>
      </c>
    </row>
    <row r="60" spans="1:14" ht="20">
      <c r="A60" s="96" t="s">
        <v>2033</v>
      </c>
      <c r="B60" s="96" t="s">
        <v>2008</v>
      </c>
      <c r="C60" s="96" t="s">
        <v>297</v>
      </c>
      <c r="D60" s="96">
        <v>67</v>
      </c>
      <c r="E60" s="96">
        <f>Table58[[#This Row],[2016]]/C144</f>
        <v>2.6634863844166171E-3</v>
      </c>
      <c r="G60" s="16" t="s">
        <v>2071</v>
      </c>
      <c r="H60" s="17">
        <v>8370</v>
      </c>
      <c r="I60" s="80">
        <f>Table59[[#This Row],[TRUMP VOTES]]/C144</f>
        <v>0.33273703041144903</v>
      </c>
      <c r="J60" s="18">
        <v>0.78600000000000003</v>
      </c>
      <c r="K60" s="17">
        <v>2153</v>
      </c>
      <c r="L60" s="80">
        <f>Table59[[#This Row],[BIDEN VOTES]]/C144</f>
        <v>8.5589346054462334E-2</v>
      </c>
      <c r="M60" s="18">
        <v>0.20200000000000001</v>
      </c>
      <c r="N60" s="80">
        <f>1-(Table59[[#This Row],[NbP]]+Table59[[#This Row],[NbP2]])</f>
        <v>0.58167362353408869</v>
      </c>
    </row>
    <row r="61" spans="1:14" ht="20">
      <c r="A61" s="96" t="s">
        <v>1278</v>
      </c>
      <c r="B61" s="96" t="s">
        <v>2008</v>
      </c>
      <c r="C61" s="96" t="s">
        <v>297</v>
      </c>
      <c r="D61" s="96">
        <v>4</v>
      </c>
      <c r="E61" s="96">
        <f>Table58[[#This Row],[2016]]/C145</f>
        <v>5.6834327934072179E-4</v>
      </c>
      <c r="G61" s="16" t="s">
        <v>1371</v>
      </c>
      <c r="H61" s="17">
        <v>1026</v>
      </c>
      <c r="I61" s="80">
        <f>Table59[[#This Row],[TRUMP VOTES]]/C145</f>
        <v>0.14578005115089515</v>
      </c>
      <c r="J61" s="18">
        <v>0.318</v>
      </c>
      <c r="K61" s="17">
        <v>2150</v>
      </c>
      <c r="L61" s="80">
        <f>Table59[[#This Row],[BIDEN VOTES]]/C145</f>
        <v>0.30548451264563797</v>
      </c>
      <c r="M61" s="18">
        <v>0.66600000000000004</v>
      </c>
      <c r="N61" s="80">
        <f>1-(Table59[[#This Row],[NbP]]+Table59[[#This Row],[NbP2]])</f>
        <v>0.54873543620346688</v>
      </c>
    </row>
    <row r="62" spans="1:14" ht="20">
      <c r="A62" s="96" t="s">
        <v>2034</v>
      </c>
      <c r="B62" s="96" t="s">
        <v>2008</v>
      </c>
      <c r="C62" s="96" t="s">
        <v>297</v>
      </c>
      <c r="D62" s="96">
        <v>382</v>
      </c>
      <c r="E62" s="96">
        <f>Table58[[#This Row],[2016]]/C146</f>
        <v>2.4786041954593528E-3</v>
      </c>
      <c r="G62" s="16" t="s">
        <v>2072</v>
      </c>
      <c r="H62" s="17">
        <v>50895</v>
      </c>
      <c r="I62" s="80">
        <f>Table59[[#This Row],[TRUMP VOTES]]/C146</f>
        <v>0.33023183384268001</v>
      </c>
      <c r="J62" s="18">
        <v>0.72</v>
      </c>
      <c r="K62" s="17">
        <v>18847</v>
      </c>
      <c r="L62" s="80">
        <f>Table59[[#This Row],[BIDEN VOTES]]/C146</f>
        <v>0.12228862113042518</v>
      </c>
      <c r="M62" s="18">
        <v>0.26700000000000002</v>
      </c>
      <c r="N62" s="80">
        <f>1-(Table59[[#This Row],[NbP]]+Table59[[#This Row],[NbP2]])</f>
        <v>0.54747954502689478</v>
      </c>
    </row>
    <row r="63" spans="1:14" ht="20">
      <c r="A63" s="96" t="s">
        <v>146</v>
      </c>
      <c r="B63" s="96" t="s">
        <v>2008</v>
      </c>
      <c r="C63" s="96" t="s">
        <v>297</v>
      </c>
      <c r="D63" s="96">
        <v>45</v>
      </c>
      <c r="E63" s="96">
        <f>Table58[[#This Row],[2016]]/C147</f>
        <v>1.5907805429864253E-3</v>
      </c>
      <c r="G63" s="16" t="s">
        <v>245</v>
      </c>
      <c r="H63" s="17">
        <v>6285</v>
      </c>
      <c r="I63" s="80">
        <f>Table59[[#This Row],[TRUMP VOTES]]/C147</f>
        <v>0.22217901583710406</v>
      </c>
      <c r="J63" s="18">
        <v>0.58599999999999997</v>
      </c>
      <c r="K63" s="17">
        <v>4330</v>
      </c>
      <c r="L63" s="80">
        <f>Table59[[#This Row],[BIDEN VOTES]]/C147</f>
        <v>0.15306843891402716</v>
      </c>
      <c r="M63" s="18">
        <v>0.40300000000000002</v>
      </c>
      <c r="N63" s="80">
        <f>1-(Table59[[#This Row],[NbP]]+Table59[[#This Row],[NbP2]])</f>
        <v>0.62475254524886881</v>
      </c>
    </row>
    <row r="64" spans="1:14" ht="20">
      <c r="A64" s="96" t="s">
        <v>2035</v>
      </c>
      <c r="B64" s="96" t="s">
        <v>2008</v>
      </c>
      <c r="C64" s="96" t="s">
        <v>297</v>
      </c>
      <c r="D64" s="96">
        <v>7</v>
      </c>
      <c r="E64" s="96">
        <f>Table58[[#This Row],[2016]]/C148</f>
        <v>1.581206234470296E-3</v>
      </c>
      <c r="G64" s="16" t="s">
        <v>2073</v>
      </c>
      <c r="H64" s="19">
        <v>688</v>
      </c>
      <c r="I64" s="80">
        <f>Table59[[#This Row],[TRUMP VOTES]]/C148</f>
        <v>0.15540998418793767</v>
      </c>
      <c r="J64" s="18">
        <v>0.315</v>
      </c>
      <c r="K64" s="17">
        <v>1465</v>
      </c>
      <c r="L64" s="80">
        <f>Table59[[#This Row],[BIDEN VOTES]]/C148</f>
        <v>0.33092387621414049</v>
      </c>
      <c r="M64" s="18">
        <v>0.67100000000000004</v>
      </c>
      <c r="N64" s="80">
        <f>1-(Table59[[#This Row],[NbP]]+Table59[[#This Row],[NbP2]])</f>
        <v>0.51366613959792184</v>
      </c>
    </row>
    <row r="65" spans="1:14" ht="20">
      <c r="A65" s="96" t="s">
        <v>1618</v>
      </c>
      <c r="B65" s="96" t="s">
        <v>2008</v>
      </c>
      <c r="C65" s="96" t="s">
        <v>297</v>
      </c>
      <c r="D65" s="96">
        <v>56</v>
      </c>
      <c r="E65" s="96">
        <f>Table58[[#This Row],[2016]]/C149</f>
        <v>2.0881497501677978E-3</v>
      </c>
      <c r="G65" s="16" t="s">
        <v>1665</v>
      </c>
      <c r="H65" s="17">
        <v>7635</v>
      </c>
      <c r="I65" s="80">
        <f>Table59[[#This Row],[TRUMP VOTES]]/C149</f>
        <v>0.28469684540234169</v>
      </c>
      <c r="J65" s="18">
        <v>0.64600000000000002</v>
      </c>
      <c r="K65" s="17">
        <v>4037</v>
      </c>
      <c r="L65" s="80">
        <f>Table59[[#This Row],[BIDEN VOTES]]/C149</f>
        <v>0.15053322395406071</v>
      </c>
      <c r="M65" s="18">
        <v>0.34200000000000003</v>
      </c>
      <c r="N65" s="80">
        <f>1-(Table59[[#This Row],[NbP]]+Table59[[#This Row],[NbP2]])</f>
        <v>0.5647699306435976</v>
      </c>
    </row>
    <row r="66" spans="1:14" ht="20">
      <c r="A66" s="96" t="s">
        <v>150</v>
      </c>
      <c r="B66" s="96" t="s">
        <v>2008</v>
      </c>
      <c r="C66" s="96" t="s">
        <v>297</v>
      </c>
      <c r="D66" s="96">
        <v>13</v>
      </c>
      <c r="E66" s="96">
        <f>Table58[[#This Row],[2016]]/C150</f>
        <v>8.1663421069162636E-4</v>
      </c>
      <c r="G66" s="16" t="s">
        <v>248</v>
      </c>
      <c r="H66" s="17">
        <v>6458</v>
      </c>
      <c r="I66" s="80">
        <f>Table59[[#This Row],[TRUMP VOTES]]/C150</f>
        <v>0.40567874866511716</v>
      </c>
      <c r="J66" s="18">
        <v>0.77600000000000002</v>
      </c>
      <c r="K66" s="17">
        <v>1791</v>
      </c>
      <c r="L66" s="80">
        <f>Table59[[#This Row],[BIDEN VOTES]]/C150</f>
        <v>0.1125070670268233</v>
      </c>
      <c r="M66" s="18">
        <v>0.215</v>
      </c>
      <c r="N66" s="80">
        <f>1-(Table59[[#This Row],[NbP]]+Table59[[#This Row],[NbP2]])</f>
        <v>0.48181418430805956</v>
      </c>
    </row>
    <row r="67" spans="1:14" ht="20">
      <c r="A67" s="96" t="s">
        <v>2036</v>
      </c>
      <c r="B67" s="96" t="s">
        <v>2008</v>
      </c>
      <c r="C67" s="96" t="s">
        <v>297</v>
      </c>
      <c r="D67" s="96">
        <v>41</v>
      </c>
      <c r="E67" s="96">
        <f>Table58[[#This Row],[2016]]/C151</f>
        <v>2.2426430368668636E-3</v>
      </c>
      <c r="G67" s="16" t="s">
        <v>2074</v>
      </c>
      <c r="H67" s="17">
        <v>5964</v>
      </c>
      <c r="I67" s="80">
        <f>Table59[[#This Row],[TRUMP VOTES]]/C151</f>
        <v>0.32622251394814572</v>
      </c>
      <c r="J67" s="18">
        <v>0.75700000000000001</v>
      </c>
      <c r="K67" s="17">
        <v>1802</v>
      </c>
      <c r="L67" s="80">
        <f>Table59[[#This Row],[BIDEN VOTES]]/C151</f>
        <v>9.8566896400831425E-2</v>
      </c>
      <c r="M67" s="18">
        <v>0.22900000000000001</v>
      </c>
      <c r="N67" s="80">
        <f>1-(Table59[[#This Row],[NbP]]+Table59[[#This Row],[NbP2]])</f>
        <v>0.5752105896510229</v>
      </c>
    </row>
    <row r="68" spans="1:14" ht="20">
      <c r="A68" s="96" t="s">
        <v>2037</v>
      </c>
      <c r="B68" s="96" t="s">
        <v>2008</v>
      </c>
      <c r="C68" s="96" t="s">
        <v>297</v>
      </c>
      <c r="D68" s="96">
        <v>56</v>
      </c>
      <c r="E68" s="96">
        <f>Table58[[#This Row],[2016]]/C152</f>
        <v>2.1739974377887341E-3</v>
      </c>
      <c r="G68" s="16" t="s">
        <v>2075</v>
      </c>
      <c r="H68" s="17">
        <v>2799</v>
      </c>
      <c r="I68" s="80">
        <f>Table59[[#This Row],[TRUMP VOTES]]/C152</f>
        <v>0.10866105050661905</v>
      </c>
      <c r="J68" s="18">
        <v>0.28899999999999998</v>
      </c>
      <c r="K68" s="17">
        <v>6781</v>
      </c>
      <c r="L68" s="80">
        <f>Table59[[#This Row],[BIDEN VOTES]]/C152</f>
        <v>0.26324779688652511</v>
      </c>
      <c r="M68" s="18">
        <v>0.7</v>
      </c>
      <c r="N68" s="80">
        <f>1-(Table59[[#This Row],[NbP]]+Table59[[#This Row],[NbP2]])</f>
        <v>0.62809115260685577</v>
      </c>
    </row>
    <row r="69" spans="1:14" ht="20">
      <c r="A69" s="96" t="s">
        <v>2038</v>
      </c>
      <c r="B69" s="96" t="s">
        <v>2008</v>
      </c>
      <c r="C69" s="96" t="s">
        <v>297</v>
      </c>
      <c r="D69" s="96">
        <v>13</v>
      </c>
      <c r="E69" s="96">
        <f>Table58[[#This Row],[2016]]/C153</f>
        <v>9.2585998148280032E-4</v>
      </c>
      <c r="G69" s="16" t="s">
        <v>2076</v>
      </c>
      <c r="H69" s="17">
        <v>2488</v>
      </c>
      <c r="I69" s="80">
        <f>Table59[[#This Row],[TRUMP VOTES]]/C153</f>
        <v>0.17719535645609288</v>
      </c>
      <c r="J69" s="18">
        <v>0.438</v>
      </c>
      <c r="K69" s="17">
        <v>3105</v>
      </c>
      <c r="L69" s="80">
        <f>Table59[[#This Row],[BIDEN VOTES]]/C153</f>
        <v>0.2211380955772381</v>
      </c>
      <c r="M69" s="18">
        <v>0.54600000000000004</v>
      </c>
      <c r="N69" s="80">
        <f>1-(Table59[[#This Row],[NbP]]+Table59[[#This Row],[NbP2]])</f>
        <v>0.60166654796666896</v>
      </c>
    </row>
    <row r="70" spans="1:14" ht="20">
      <c r="A70" s="96" t="s">
        <v>2039</v>
      </c>
      <c r="B70" s="96" t="s">
        <v>2008</v>
      </c>
      <c r="C70" s="96" t="s">
        <v>297</v>
      </c>
      <c r="D70" s="96">
        <v>69</v>
      </c>
      <c r="E70" s="96">
        <f>Table58[[#This Row],[2016]]/C154</f>
        <v>2.427953129948274E-3</v>
      </c>
      <c r="G70" s="16" t="s">
        <v>2077</v>
      </c>
      <c r="H70" s="17">
        <v>8707</v>
      </c>
      <c r="I70" s="80">
        <f>Table59[[#This Row],[TRUMP VOTES]]/C154</f>
        <v>0.30637953481825542</v>
      </c>
      <c r="J70" s="18">
        <v>0.66500000000000004</v>
      </c>
      <c r="K70" s="17">
        <v>4183</v>
      </c>
      <c r="L70" s="80">
        <f>Table59[[#This Row],[BIDEN VOTES]]/C154</f>
        <v>0.14719026003729899</v>
      </c>
      <c r="M70" s="18">
        <v>0.31900000000000001</v>
      </c>
      <c r="N70" s="80">
        <f>1-(Table59[[#This Row],[NbP]]+Table59[[#This Row],[NbP2]])</f>
        <v>0.54643020514444562</v>
      </c>
    </row>
    <row r="71" spans="1:14" ht="20">
      <c r="A71" s="96" t="s">
        <v>2040</v>
      </c>
      <c r="B71" s="96" t="s">
        <v>2008</v>
      </c>
      <c r="C71" s="96" t="s">
        <v>297</v>
      </c>
      <c r="D71" s="96">
        <v>137</v>
      </c>
      <c r="E71" s="96">
        <f>Table58[[#This Row],[2016]]/C155</f>
        <v>6.234073534765198E-3</v>
      </c>
      <c r="G71" s="16" t="s">
        <v>2078</v>
      </c>
      <c r="H71" s="17">
        <v>8054</v>
      </c>
      <c r="I71" s="80">
        <f>Table59[[#This Row],[TRUMP VOTES]]/C155</f>
        <v>0.36649071714597742</v>
      </c>
      <c r="J71" s="18">
        <v>0.79700000000000004</v>
      </c>
      <c r="K71" s="17">
        <v>1937</v>
      </c>
      <c r="L71" s="80">
        <f>Table59[[#This Row],[BIDEN VOTES]]/C155</f>
        <v>8.8141609028030574E-2</v>
      </c>
      <c r="M71" s="18">
        <v>0.192</v>
      </c>
      <c r="N71" s="80">
        <f>1-(Table59[[#This Row],[NbP]]+Table59[[#This Row],[NbP2]])</f>
        <v>0.54536767382599205</v>
      </c>
    </row>
    <row r="72" spans="1:14" ht="20">
      <c r="A72" s="96" t="s">
        <v>2041</v>
      </c>
      <c r="B72" s="96" t="s">
        <v>2008</v>
      </c>
      <c r="C72" s="96" t="s">
        <v>297</v>
      </c>
      <c r="D72" s="96">
        <v>60</v>
      </c>
      <c r="E72" s="96">
        <f>Table58[[#This Row],[2016]]/C156</f>
        <v>3.0934213239843266E-3</v>
      </c>
      <c r="G72" s="16" t="s">
        <v>2079</v>
      </c>
      <c r="H72" s="17">
        <v>7933</v>
      </c>
      <c r="I72" s="80">
        <f>Table59[[#This Row],[TRUMP VOTES]]/C156</f>
        <v>0.40900185605279438</v>
      </c>
      <c r="J72" s="18">
        <v>0.86799999999999999</v>
      </c>
      <c r="K72" s="17">
        <v>1059</v>
      </c>
      <c r="L72" s="80">
        <f>Table59[[#This Row],[BIDEN VOTES]]/C156</f>
        <v>5.4598886368323364E-2</v>
      </c>
      <c r="M72" s="18">
        <v>0.11600000000000001</v>
      </c>
      <c r="N72" s="80">
        <f>1-(Table59[[#This Row],[NbP]]+Table59[[#This Row],[NbP2]])</f>
        <v>0.53639925757888229</v>
      </c>
    </row>
    <row r="73" spans="1:14" ht="20">
      <c r="A73" s="96" t="s">
        <v>2042</v>
      </c>
      <c r="B73" s="96" t="s">
        <v>2008</v>
      </c>
      <c r="C73" s="96" t="s">
        <v>297</v>
      </c>
      <c r="D73" s="96">
        <v>28</v>
      </c>
      <c r="E73" s="96">
        <f>Table58[[#This Row],[2016]]/C157</f>
        <v>2.8551034975017845E-3</v>
      </c>
      <c r="G73" s="16" t="s">
        <v>2080</v>
      </c>
      <c r="H73" s="19">
        <v>926</v>
      </c>
      <c r="I73" s="80">
        <f>Table59[[#This Row],[TRUMP VOTES]]/C157</f>
        <v>9.4422351381666159E-2</v>
      </c>
      <c r="J73" s="18">
        <v>0.26</v>
      </c>
      <c r="K73" s="17">
        <v>2580</v>
      </c>
      <c r="L73" s="80">
        <f>Table59[[#This Row],[BIDEN VOTES]]/C157</f>
        <v>0.26307739369837874</v>
      </c>
      <c r="M73" s="18">
        <v>0.72399999999999998</v>
      </c>
      <c r="N73" s="80">
        <f>1-(Table59[[#This Row],[NbP]]+Table59[[#This Row],[NbP2]])</f>
        <v>0.6425002549199551</v>
      </c>
    </row>
    <row r="74" spans="1:14" ht="20">
      <c r="A74" s="96" t="s">
        <v>157</v>
      </c>
      <c r="B74" s="96" t="s">
        <v>2008</v>
      </c>
      <c r="C74" s="96" t="s">
        <v>297</v>
      </c>
      <c r="D74" s="96">
        <v>135</v>
      </c>
      <c r="E74" s="96">
        <f>Table58[[#This Row],[2016]]/C158</f>
        <v>4.7239134998950244E-3</v>
      </c>
      <c r="G74" s="16" t="s">
        <v>255</v>
      </c>
      <c r="H74" s="17">
        <v>10373</v>
      </c>
      <c r="I74" s="80">
        <f>Table59[[#This Row],[TRUMP VOTES]]/C158</f>
        <v>0.36297151655119325</v>
      </c>
      <c r="J74" s="18">
        <v>0.81799999999999995</v>
      </c>
      <c r="K74" s="17">
        <v>2160</v>
      </c>
      <c r="L74" s="80">
        <f>Table59[[#This Row],[BIDEN VOTES]]/C158</f>
        <v>7.558261599832039E-2</v>
      </c>
      <c r="M74" s="18">
        <v>0.17</v>
      </c>
      <c r="N74" s="80">
        <f>1-(Table59[[#This Row],[NbP]]+Table59[[#This Row],[NbP2]])</f>
        <v>0.5614458674504863</v>
      </c>
    </row>
    <row r="75" spans="1:14" ht="20">
      <c r="A75" s="96" t="s">
        <v>2043</v>
      </c>
      <c r="B75" s="96" t="s">
        <v>2008</v>
      </c>
      <c r="C75" s="96" t="s">
        <v>297</v>
      </c>
      <c r="D75" s="96">
        <v>38</v>
      </c>
      <c r="E75" s="96">
        <f>Table58[[#This Row],[2016]]/C159</f>
        <v>2.6346807182971643E-3</v>
      </c>
      <c r="G75" s="16" t="s">
        <v>2081</v>
      </c>
      <c r="H75" s="17">
        <v>4220</v>
      </c>
      <c r="I75" s="80">
        <f>Table59[[#This Row],[TRUMP VOTES]]/C159</f>
        <v>0.29258822713721139</v>
      </c>
      <c r="J75" s="18">
        <v>0.59299999999999997</v>
      </c>
      <c r="K75" s="17">
        <v>2835</v>
      </c>
      <c r="L75" s="80">
        <f>Table59[[#This Row],[BIDEN VOTES]]/C159</f>
        <v>0.19656104832559107</v>
      </c>
      <c r="M75" s="18">
        <v>0.39800000000000002</v>
      </c>
      <c r="N75" s="80">
        <f>1-(Table59[[#This Row],[NbP]]+Table59[[#This Row],[NbP2]])</f>
        <v>0.5108507245371976</v>
      </c>
    </row>
    <row r="76" spans="1:14" ht="20">
      <c r="A76" s="96" t="s">
        <v>159</v>
      </c>
      <c r="B76" s="96" t="s">
        <v>2008</v>
      </c>
      <c r="C76" s="96" t="s">
        <v>297</v>
      </c>
      <c r="D76" s="96">
        <v>86</v>
      </c>
      <c r="E76" s="96">
        <f>Table58[[#This Row],[2016]]/C160</f>
        <v>1.8683467303932217E-3</v>
      </c>
      <c r="G76" s="16" t="s">
        <v>257</v>
      </c>
      <c r="H76" s="17">
        <v>10365</v>
      </c>
      <c r="I76" s="80">
        <f>Table59[[#This Row],[TRUMP VOTES]]/C160</f>
        <v>0.22517923093634587</v>
      </c>
      <c r="J76" s="18">
        <v>0.49199999999999999</v>
      </c>
      <c r="K76" s="17">
        <v>10442</v>
      </c>
      <c r="L76" s="80">
        <f>Table59[[#This Row],[BIDEN VOTES]]/C160</f>
        <v>0.22685205300890723</v>
      </c>
      <c r="M76" s="18">
        <v>0.496</v>
      </c>
      <c r="N76" s="80">
        <f>1-(Table59[[#This Row],[NbP]]+Table59[[#This Row],[NbP2]])</f>
        <v>0.54796871605474684</v>
      </c>
    </row>
    <row r="77" spans="1:14" ht="20">
      <c r="A77" s="96" t="s">
        <v>38</v>
      </c>
      <c r="B77" s="96" t="s">
        <v>2008</v>
      </c>
      <c r="C77" s="96" t="s">
        <v>297</v>
      </c>
      <c r="D77" s="96">
        <v>186</v>
      </c>
      <c r="E77" s="96">
        <f>Table58[[#This Row],[2016]]/C161</f>
        <v>4.1267305644302451E-3</v>
      </c>
      <c r="G77" s="16" t="s">
        <v>258</v>
      </c>
      <c r="H77" s="17">
        <v>5300</v>
      </c>
      <c r="I77" s="80">
        <f>Table59[[#This Row],[TRUMP VOTES]]/C161</f>
        <v>0.1175896343627973</v>
      </c>
      <c r="J77" s="18">
        <v>0.29399999999999998</v>
      </c>
      <c r="K77" s="17">
        <v>12503</v>
      </c>
      <c r="L77" s="80">
        <f>Table59[[#This Row],[BIDEN VOTES]]/C161</f>
        <v>0.27740060347887824</v>
      </c>
      <c r="M77" s="18">
        <v>0.69399999999999995</v>
      </c>
      <c r="N77" s="80">
        <f>1-(Table59[[#This Row],[NbP]]+Table59[[#This Row],[NbP2]])</f>
        <v>0.60500976215832447</v>
      </c>
    </row>
    <row r="78" spans="1:14" ht="20">
      <c r="A78" s="96" t="s">
        <v>160</v>
      </c>
      <c r="B78" s="96" t="s">
        <v>2008</v>
      </c>
      <c r="C78" s="96" t="s">
        <v>297</v>
      </c>
      <c r="D78" s="96">
        <v>49</v>
      </c>
      <c r="E78" s="96">
        <f>Table58[[#This Row],[2016]]/C162</f>
        <v>2.4085725521038144E-3</v>
      </c>
      <c r="G78" s="16" t="s">
        <v>259</v>
      </c>
      <c r="H78" s="17">
        <v>6307</v>
      </c>
      <c r="I78" s="80">
        <f>Table59[[#This Row],[TRUMP VOTES]]/C162</f>
        <v>0.3100176956350767</v>
      </c>
      <c r="J78" s="18">
        <v>0.627</v>
      </c>
      <c r="K78" s="17">
        <v>3624</v>
      </c>
      <c r="L78" s="80">
        <f>Table59[[#This Row],[BIDEN VOTES]]/C162</f>
        <v>0.17813605977192293</v>
      </c>
      <c r="M78" s="18">
        <v>0.36</v>
      </c>
      <c r="N78" s="80">
        <f>1-(Table59[[#This Row],[NbP]]+Table59[[#This Row],[NbP2]])</f>
        <v>0.51184624459300032</v>
      </c>
    </row>
    <row r="79" spans="1:14" ht="20">
      <c r="A79" s="96" t="s">
        <v>884</v>
      </c>
      <c r="B79" s="96" t="s">
        <v>2008</v>
      </c>
      <c r="C79" s="96" t="s">
        <v>297</v>
      </c>
      <c r="D79" s="96">
        <v>19</v>
      </c>
      <c r="E79" s="96">
        <f>Table58[[#This Row],[2016]]/C163</f>
        <v>1.9533257941811454E-3</v>
      </c>
      <c r="G79" s="16" t="s">
        <v>853</v>
      </c>
      <c r="H79" s="17">
        <v>4291</v>
      </c>
      <c r="I79" s="80">
        <f>Table59[[#This Row],[TRUMP VOTES]]/C163</f>
        <v>0.44114320962269971</v>
      </c>
      <c r="J79" s="18">
        <v>0.79500000000000004</v>
      </c>
      <c r="K79" s="17">
        <v>1043</v>
      </c>
      <c r="L79" s="80">
        <f>Table59[[#This Row],[BIDEN VOTES]]/C163</f>
        <v>0.10722730543847024</v>
      </c>
      <c r="M79" s="18">
        <v>0.193</v>
      </c>
      <c r="N79" s="80">
        <f>1-(Table59[[#This Row],[NbP]]+Table59[[#This Row],[NbP2]])</f>
        <v>0.45162948493883004</v>
      </c>
    </row>
    <row r="80" spans="1:14" ht="20">
      <c r="A80" s="96" t="s">
        <v>1303</v>
      </c>
      <c r="B80" s="96" t="s">
        <v>2008</v>
      </c>
      <c r="C80" s="96" t="s">
        <v>297</v>
      </c>
      <c r="D80" s="96">
        <v>9</v>
      </c>
      <c r="E80" s="96">
        <f>Table58[[#This Row],[2016]]/C164</f>
        <v>1.0312822275696115E-3</v>
      </c>
      <c r="G80" s="16" t="s">
        <v>1396</v>
      </c>
      <c r="H80" s="17">
        <v>1324</v>
      </c>
      <c r="I80" s="80">
        <f>Table59[[#This Row],[TRUMP VOTES]]/C164</f>
        <v>0.15171307436690729</v>
      </c>
      <c r="J80" s="18">
        <v>0.32100000000000001</v>
      </c>
      <c r="K80" s="17">
        <v>2749</v>
      </c>
      <c r="L80" s="80">
        <f>Table59[[#This Row],[BIDEN VOTES]]/C164</f>
        <v>0.31499942706542911</v>
      </c>
      <c r="M80" s="18">
        <v>0.66600000000000004</v>
      </c>
      <c r="N80" s="80">
        <f>1-(Table59[[#This Row],[NbP]]+Table59[[#This Row],[NbP2]])</f>
        <v>0.53328749856766366</v>
      </c>
    </row>
    <row r="81" spans="1:14" ht="20">
      <c r="A81" s="96" t="s">
        <v>921</v>
      </c>
      <c r="B81" s="96" t="s">
        <v>2008</v>
      </c>
      <c r="C81" s="96" t="s">
        <v>297</v>
      </c>
      <c r="D81" s="96">
        <v>38</v>
      </c>
      <c r="E81" s="96">
        <f>Table58[[#This Row],[2016]]/C165</f>
        <v>2.0975932877014794E-3</v>
      </c>
      <c r="G81" s="16" t="s">
        <v>953</v>
      </c>
      <c r="H81" s="17">
        <v>5112</v>
      </c>
      <c r="I81" s="80">
        <f>Table59[[#This Row],[TRUMP VOTES]]/C165</f>
        <v>0.28218149701920953</v>
      </c>
      <c r="J81" s="18">
        <v>0.55300000000000005</v>
      </c>
      <c r="K81" s="17">
        <v>4040</v>
      </c>
      <c r="L81" s="80">
        <f>Table59[[#This Row],[BIDEN VOTES]]/C165</f>
        <v>0.2230072863766836</v>
      </c>
      <c r="M81" s="18">
        <v>0.437</v>
      </c>
      <c r="N81" s="80">
        <f>1-(Table59[[#This Row],[NbP]]+Table59[[#This Row],[NbP2]])</f>
        <v>0.49481121660410687</v>
      </c>
    </row>
    <row r="82" spans="1:14" ht="20">
      <c r="A82" s="96" t="s">
        <v>2044</v>
      </c>
      <c r="B82" s="96" t="s">
        <v>2008</v>
      </c>
      <c r="C82" s="96" t="s">
        <v>297</v>
      </c>
      <c r="D82" s="96">
        <v>69</v>
      </c>
      <c r="E82" s="96">
        <f>Table58[[#This Row],[2016]]/C166</f>
        <v>5.6207233626588467E-3</v>
      </c>
      <c r="G82" s="16" t="s">
        <v>2082</v>
      </c>
      <c r="H82" s="17">
        <v>3671</v>
      </c>
      <c r="I82" s="80">
        <f>Table59[[#This Row],[TRUMP VOTES]]/C166</f>
        <v>0.29903877484522645</v>
      </c>
      <c r="J82" s="18">
        <v>0.56200000000000006</v>
      </c>
      <c r="K82" s="17">
        <v>2785</v>
      </c>
      <c r="L82" s="80">
        <f>Table59[[#This Row],[BIDEN VOTES]]/C166</f>
        <v>0.22686542847833172</v>
      </c>
      <c r="M82" s="18">
        <v>0.42599999999999999</v>
      </c>
      <c r="N82" s="80">
        <f>1-(Table59[[#This Row],[NbP]]+Table59[[#This Row],[NbP2]])</f>
        <v>0.47409579667644186</v>
      </c>
    </row>
    <row r="83" spans="1:14" ht="20">
      <c r="A83" s="96" t="s">
        <v>2045</v>
      </c>
      <c r="B83" s="96" t="s">
        <v>2008</v>
      </c>
      <c r="C83" s="96" t="s">
        <v>297</v>
      </c>
      <c r="D83" s="96">
        <v>41</v>
      </c>
      <c r="E83" s="96">
        <f>Table58[[#This Row],[2016]]/C167</f>
        <v>1.4380414576829995E-3</v>
      </c>
      <c r="G83" s="16" t="s">
        <v>2083</v>
      </c>
      <c r="H83" s="17">
        <v>4832</v>
      </c>
      <c r="I83" s="80">
        <f>Table59[[#This Row],[TRUMP VOTES]]/C167</f>
        <v>0.16947844691522571</v>
      </c>
      <c r="J83" s="18">
        <v>0.46300000000000002</v>
      </c>
      <c r="K83" s="17">
        <v>5496</v>
      </c>
      <c r="L83" s="80">
        <f>Table59[[#This Row],[BIDEN VOTES]]/C167</f>
        <v>0.19276770369331137</v>
      </c>
      <c r="M83" s="18">
        <v>0.52700000000000002</v>
      </c>
      <c r="N83" s="80">
        <f>1-(Table59[[#This Row],[NbP]]+Table59[[#This Row],[NbP2]])</f>
        <v>0.63775384939146296</v>
      </c>
    </row>
    <row r="85" spans="1:14" ht="21">
      <c r="A85" s="77" t="s">
        <v>1670</v>
      </c>
      <c r="B85" s="77" t="s">
        <v>69</v>
      </c>
      <c r="C85" s="77" t="s">
        <v>54</v>
      </c>
    </row>
    <row r="86" spans="1:14" ht="21">
      <c r="A86" s="52">
        <v>27</v>
      </c>
      <c r="B86" s="53" t="s">
        <v>1144</v>
      </c>
      <c r="C86" s="54">
        <v>31103</v>
      </c>
    </row>
    <row r="87" spans="1:14" ht="21">
      <c r="A87" s="52">
        <v>20</v>
      </c>
      <c r="B87" s="53" t="s">
        <v>2047</v>
      </c>
      <c r="C87" s="54">
        <v>37058</v>
      </c>
    </row>
    <row r="88" spans="1:14" ht="21">
      <c r="A88" s="52">
        <v>63</v>
      </c>
      <c r="B88" s="53" t="s">
        <v>2048</v>
      </c>
      <c r="C88" s="54">
        <v>12341</v>
      </c>
    </row>
    <row r="89" spans="1:14" ht="21">
      <c r="A89" s="52">
        <v>50</v>
      </c>
      <c r="B89" s="53" t="s">
        <v>2049</v>
      </c>
      <c r="C89" s="54">
        <v>18308</v>
      </c>
    </row>
    <row r="90" spans="1:14" ht="21">
      <c r="A90" s="52">
        <v>75</v>
      </c>
      <c r="B90" s="53" t="s">
        <v>172</v>
      </c>
      <c r="C90" s="54">
        <v>8275</v>
      </c>
    </row>
    <row r="91" spans="1:14" ht="21">
      <c r="A91" s="52">
        <v>26</v>
      </c>
      <c r="B91" s="53" t="s">
        <v>2050</v>
      </c>
      <c r="C91" s="54">
        <v>31253</v>
      </c>
    </row>
    <row r="92" spans="1:14" ht="21">
      <c r="A92" s="52">
        <v>59</v>
      </c>
      <c r="B92" s="53" t="s">
        <v>358</v>
      </c>
      <c r="C92" s="54">
        <v>14417</v>
      </c>
    </row>
    <row r="93" spans="1:14" ht="21">
      <c r="A93" s="52">
        <v>68</v>
      </c>
      <c r="B93" s="53" t="s">
        <v>178</v>
      </c>
      <c r="C93" s="54">
        <v>9972</v>
      </c>
    </row>
    <row r="94" spans="1:14" ht="21">
      <c r="A94" s="52">
        <v>54</v>
      </c>
      <c r="B94" s="53" t="s">
        <v>1541</v>
      </c>
      <c r="C94" s="54">
        <v>17060</v>
      </c>
    </row>
    <row r="95" spans="1:14" ht="21">
      <c r="A95" s="52">
        <v>76</v>
      </c>
      <c r="B95" s="53" t="s">
        <v>928</v>
      </c>
      <c r="C95" s="54">
        <v>8206</v>
      </c>
    </row>
    <row r="96" spans="1:14" ht="21">
      <c r="A96" s="52">
        <v>73</v>
      </c>
      <c r="B96" s="53" t="s">
        <v>182</v>
      </c>
      <c r="C96" s="54">
        <v>9042</v>
      </c>
    </row>
    <row r="97" spans="1:3" ht="21">
      <c r="A97" s="52">
        <v>57</v>
      </c>
      <c r="B97" s="53" t="s">
        <v>929</v>
      </c>
      <c r="C97" s="54">
        <v>15612</v>
      </c>
    </row>
    <row r="98" spans="1:3" ht="21">
      <c r="A98" s="52">
        <v>47</v>
      </c>
      <c r="B98" s="53" t="s">
        <v>183</v>
      </c>
      <c r="C98" s="54">
        <v>19515</v>
      </c>
    </row>
    <row r="99" spans="1:3" ht="21">
      <c r="A99" s="52">
        <v>42</v>
      </c>
      <c r="B99" s="53" t="s">
        <v>2051</v>
      </c>
      <c r="C99" s="54">
        <v>22685</v>
      </c>
    </row>
    <row r="100" spans="1:3" ht="21">
      <c r="A100" s="52">
        <v>33</v>
      </c>
      <c r="B100" s="53" t="s">
        <v>2052</v>
      </c>
      <c r="C100" s="54">
        <v>28339</v>
      </c>
    </row>
    <row r="101" spans="1:3" ht="21">
      <c r="A101" s="52">
        <v>49</v>
      </c>
      <c r="B101" s="53" t="s">
        <v>934</v>
      </c>
      <c r="C101" s="54">
        <v>18810</v>
      </c>
    </row>
    <row r="102" spans="1:3" ht="21">
      <c r="A102" s="52">
        <v>3</v>
      </c>
      <c r="B102" s="53" t="s">
        <v>2053</v>
      </c>
      <c r="C102" s="54">
        <v>182256</v>
      </c>
    </row>
    <row r="103" spans="1:3" ht="21">
      <c r="A103" s="52">
        <v>9</v>
      </c>
      <c r="B103" s="53" t="s">
        <v>2054</v>
      </c>
      <c r="C103" s="54">
        <v>75162</v>
      </c>
    </row>
    <row r="104" spans="1:3" ht="21">
      <c r="A104" s="52">
        <v>78</v>
      </c>
      <c r="B104" s="53" t="s">
        <v>195</v>
      </c>
      <c r="C104" s="54">
        <v>7716</v>
      </c>
    </row>
    <row r="105" spans="1:3" ht="21">
      <c r="A105" s="52">
        <v>39</v>
      </c>
      <c r="B105" s="53" t="s">
        <v>2055</v>
      </c>
      <c r="C105" s="54">
        <v>24098</v>
      </c>
    </row>
    <row r="106" spans="1:3" ht="21">
      <c r="A106" s="52">
        <v>61</v>
      </c>
      <c r="B106" s="53" t="s">
        <v>199</v>
      </c>
      <c r="C106" s="54">
        <v>13619</v>
      </c>
    </row>
    <row r="107" spans="1:3" ht="21">
      <c r="A107" s="52">
        <v>45</v>
      </c>
      <c r="B107" s="53" t="s">
        <v>2056</v>
      </c>
      <c r="C107" s="54">
        <v>20927</v>
      </c>
    </row>
    <row r="108" spans="1:3" ht="21">
      <c r="A108" s="52">
        <v>16</v>
      </c>
      <c r="B108" s="53" t="s">
        <v>203</v>
      </c>
      <c r="C108" s="54">
        <v>47339</v>
      </c>
    </row>
    <row r="109" spans="1:3" ht="21">
      <c r="A109" s="52">
        <v>2</v>
      </c>
      <c r="B109" s="53" t="s">
        <v>424</v>
      </c>
      <c r="C109" s="54">
        <v>206169</v>
      </c>
    </row>
    <row r="110" spans="1:3" ht="21">
      <c r="A110" s="52">
        <v>1</v>
      </c>
      <c r="B110" s="53" t="s">
        <v>2057</v>
      </c>
      <c r="C110" s="54">
        <v>235604</v>
      </c>
    </row>
    <row r="111" spans="1:3" ht="21">
      <c r="A111" s="52">
        <v>53</v>
      </c>
      <c r="B111" s="53" t="s">
        <v>2058</v>
      </c>
      <c r="C111" s="54">
        <v>17414</v>
      </c>
    </row>
    <row r="112" spans="1:3" ht="21">
      <c r="A112" s="52">
        <v>77</v>
      </c>
      <c r="B112" s="53" t="s">
        <v>212</v>
      </c>
      <c r="C112" s="54">
        <v>8198</v>
      </c>
    </row>
    <row r="113" spans="1:3" ht="21">
      <c r="A113" s="52">
        <v>82</v>
      </c>
      <c r="B113" s="53" t="s">
        <v>2059</v>
      </c>
      <c r="C113" s="54">
        <v>1223</v>
      </c>
    </row>
    <row r="114" spans="1:3" ht="21">
      <c r="A114" s="52">
        <v>40</v>
      </c>
      <c r="B114" s="53" t="s">
        <v>2060</v>
      </c>
      <c r="C114" s="54">
        <v>23396</v>
      </c>
    </row>
    <row r="115" spans="1:3" ht="21">
      <c r="A115" s="52">
        <v>5</v>
      </c>
      <c r="B115" s="53" t="s">
        <v>213</v>
      </c>
      <c r="C115" s="54">
        <v>142872</v>
      </c>
    </row>
    <row r="116" spans="1:3" ht="21">
      <c r="A116" s="52">
        <v>55</v>
      </c>
      <c r="B116" s="53" t="s">
        <v>440</v>
      </c>
      <c r="C116" s="54">
        <v>16454</v>
      </c>
    </row>
    <row r="117" spans="1:3" ht="21">
      <c r="A117" s="52">
        <v>79</v>
      </c>
      <c r="B117" s="53" t="s">
        <v>214</v>
      </c>
      <c r="C117" s="54">
        <v>7129</v>
      </c>
    </row>
    <row r="118" spans="1:3" ht="21">
      <c r="A118" s="52">
        <v>66</v>
      </c>
      <c r="B118" s="53" t="s">
        <v>2061</v>
      </c>
      <c r="C118" s="54">
        <v>11182</v>
      </c>
    </row>
    <row r="119" spans="1:3" ht="21">
      <c r="A119" s="52">
        <v>10</v>
      </c>
      <c r="B119" s="53" t="s">
        <v>444</v>
      </c>
      <c r="C119" s="54">
        <v>68307</v>
      </c>
    </row>
    <row r="120" spans="1:3" ht="21">
      <c r="A120" s="52">
        <v>70</v>
      </c>
      <c r="B120" s="53" t="s">
        <v>2062</v>
      </c>
      <c r="C120" s="54">
        <v>9829</v>
      </c>
    </row>
    <row r="121" spans="1:3" ht="21">
      <c r="A121" s="52">
        <v>14</v>
      </c>
      <c r="B121" s="53" t="s">
        <v>2063</v>
      </c>
      <c r="C121" s="54">
        <v>54059</v>
      </c>
    </row>
    <row r="122" spans="1:3" ht="21">
      <c r="A122" s="52">
        <v>11</v>
      </c>
      <c r="B122" s="53" t="s">
        <v>455</v>
      </c>
      <c r="C122" s="54">
        <v>62693</v>
      </c>
    </row>
    <row r="123" spans="1:3" ht="21">
      <c r="A123" s="52">
        <v>8</v>
      </c>
      <c r="B123" s="53" t="s">
        <v>218</v>
      </c>
      <c r="C123" s="54">
        <v>75557</v>
      </c>
    </row>
    <row r="124" spans="1:3" ht="21">
      <c r="A124" s="52">
        <v>62</v>
      </c>
      <c r="B124" s="53" t="s">
        <v>219</v>
      </c>
      <c r="C124" s="54">
        <v>12595</v>
      </c>
    </row>
    <row r="125" spans="1:3" ht="21">
      <c r="A125" s="52">
        <v>41</v>
      </c>
      <c r="B125" s="53" t="s">
        <v>2064</v>
      </c>
      <c r="C125" s="54">
        <v>22791</v>
      </c>
    </row>
    <row r="126" spans="1:3" ht="21">
      <c r="A126" s="52">
        <v>7</v>
      </c>
      <c r="B126" s="53" t="s">
        <v>459</v>
      </c>
      <c r="C126" s="54">
        <v>85304</v>
      </c>
    </row>
    <row r="127" spans="1:3" ht="21">
      <c r="A127" s="52">
        <v>29</v>
      </c>
      <c r="B127" s="53" t="s">
        <v>2065</v>
      </c>
      <c r="C127" s="54">
        <v>28764</v>
      </c>
    </row>
    <row r="128" spans="1:3" ht="21">
      <c r="A128" s="52">
        <v>23</v>
      </c>
      <c r="B128" s="53" t="s">
        <v>221</v>
      </c>
      <c r="C128" s="54">
        <v>34197</v>
      </c>
    </row>
    <row r="129" spans="1:3" ht="21">
      <c r="A129" s="52">
        <v>12</v>
      </c>
      <c r="B129" s="53" t="s">
        <v>941</v>
      </c>
      <c r="C129" s="54">
        <v>58896</v>
      </c>
    </row>
    <row r="130" spans="1:3" ht="21">
      <c r="A130" s="52">
        <v>6</v>
      </c>
      <c r="B130" s="53" t="s">
        <v>226</v>
      </c>
      <c r="C130" s="54">
        <v>105482</v>
      </c>
    </row>
    <row r="131" spans="1:3" ht="21">
      <c r="A131" s="52">
        <v>38</v>
      </c>
      <c r="B131" s="53" t="s">
        <v>227</v>
      </c>
      <c r="C131" s="54">
        <v>24785</v>
      </c>
    </row>
    <row r="132" spans="1:3" ht="21">
      <c r="A132" s="52">
        <v>22</v>
      </c>
      <c r="B132" s="53" t="s">
        <v>228</v>
      </c>
      <c r="C132" s="54">
        <v>35502</v>
      </c>
    </row>
    <row r="133" spans="1:3" ht="21">
      <c r="A133" s="52">
        <v>21</v>
      </c>
      <c r="B133" s="53" t="s">
        <v>231</v>
      </c>
      <c r="C133" s="54">
        <v>35559</v>
      </c>
    </row>
    <row r="134" spans="1:3" ht="21">
      <c r="A134" s="52">
        <v>69</v>
      </c>
      <c r="B134" s="53" t="s">
        <v>232</v>
      </c>
      <c r="C134" s="54">
        <v>9956</v>
      </c>
    </row>
    <row r="135" spans="1:3" ht="21">
      <c r="A135" s="52">
        <v>28</v>
      </c>
      <c r="B135" s="53" t="s">
        <v>2066</v>
      </c>
      <c r="C135" s="54">
        <v>29250</v>
      </c>
    </row>
    <row r="136" spans="1:3" ht="21">
      <c r="A136" s="52">
        <v>44</v>
      </c>
      <c r="B136" s="53" t="s">
        <v>487</v>
      </c>
      <c r="C136" s="54">
        <v>21215</v>
      </c>
    </row>
    <row r="137" spans="1:3" ht="21">
      <c r="A137" s="52">
        <v>67</v>
      </c>
      <c r="B137" s="53" t="s">
        <v>2067</v>
      </c>
      <c r="C137" s="54">
        <v>10566</v>
      </c>
    </row>
    <row r="138" spans="1:3" ht="21">
      <c r="A138" s="52">
        <v>15</v>
      </c>
      <c r="B138" s="53" t="s">
        <v>2068</v>
      </c>
      <c r="C138" s="54">
        <v>49593</v>
      </c>
    </row>
    <row r="139" spans="1:3" ht="21">
      <c r="A139" s="52">
        <v>24</v>
      </c>
      <c r="B139" s="53" t="s">
        <v>493</v>
      </c>
      <c r="C139" s="54">
        <v>34079</v>
      </c>
    </row>
    <row r="140" spans="1:3" ht="21">
      <c r="A140" s="52">
        <v>13</v>
      </c>
      <c r="B140" s="53" t="s">
        <v>2069</v>
      </c>
      <c r="C140" s="54">
        <v>55512</v>
      </c>
    </row>
    <row r="141" spans="1:3" ht="21">
      <c r="A141" s="52">
        <v>65</v>
      </c>
      <c r="B141" s="53" t="s">
        <v>237</v>
      </c>
      <c r="C141" s="54">
        <v>11981</v>
      </c>
    </row>
    <row r="142" spans="1:3" ht="21">
      <c r="A142" s="52">
        <v>19</v>
      </c>
      <c r="B142" s="53" t="s">
        <v>945</v>
      </c>
      <c r="C142" s="54">
        <v>39365</v>
      </c>
    </row>
    <row r="143" spans="1:3" ht="21">
      <c r="A143" s="52">
        <v>25</v>
      </c>
      <c r="B143" s="53" t="s">
        <v>2070</v>
      </c>
      <c r="C143" s="54">
        <v>31996</v>
      </c>
    </row>
    <row r="144" spans="1:3" ht="21">
      <c r="A144" s="52">
        <v>37</v>
      </c>
      <c r="B144" s="53" t="s">
        <v>2071</v>
      </c>
      <c r="C144" s="54">
        <v>25155</v>
      </c>
    </row>
    <row r="145" spans="1:3" ht="21">
      <c r="A145" s="52">
        <v>80</v>
      </c>
      <c r="B145" s="53" t="s">
        <v>1371</v>
      </c>
      <c r="C145" s="54">
        <v>7038</v>
      </c>
    </row>
    <row r="146" spans="1:3" ht="21">
      <c r="A146" s="52">
        <v>4</v>
      </c>
      <c r="B146" s="53" t="s">
        <v>2072</v>
      </c>
      <c r="C146" s="54">
        <v>154119</v>
      </c>
    </row>
    <row r="147" spans="1:3" ht="21">
      <c r="A147" s="52">
        <v>34</v>
      </c>
      <c r="B147" s="53" t="s">
        <v>245</v>
      </c>
      <c r="C147" s="54">
        <v>28288</v>
      </c>
    </row>
    <row r="148" spans="1:3" ht="21">
      <c r="A148" s="52">
        <v>81</v>
      </c>
      <c r="B148" s="53" t="s">
        <v>2073</v>
      </c>
      <c r="C148" s="54">
        <v>4427</v>
      </c>
    </row>
    <row r="149" spans="1:3" ht="21">
      <c r="A149" s="52">
        <v>35</v>
      </c>
      <c r="B149" s="53" t="s">
        <v>1665</v>
      </c>
      <c r="C149" s="54">
        <v>26818</v>
      </c>
    </row>
    <row r="150" spans="1:3" ht="21">
      <c r="A150" s="52">
        <v>56</v>
      </c>
      <c r="B150" s="53" t="s">
        <v>248</v>
      </c>
      <c r="C150" s="54">
        <v>15919</v>
      </c>
    </row>
    <row r="151" spans="1:3" ht="21">
      <c r="A151" s="52">
        <v>51</v>
      </c>
      <c r="B151" s="53" t="s">
        <v>2074</v>
      </c>
      <c r="C151" s="54">
        <v>18282</v>
      </c>
    </row>
    <row r="152" spans="1:3" ht="21">
      <c r="A152" s="52">
        <v>36</v>
      </c>
      <c r="B152" s="53" t="s">
        <v>2075</v>
      </c>
      <c r="C152" s="54">
        <v>25759</v>
      </c>
    </row>
    <row r="153" spans="1:3" ht="21">
      <c r="A153" s="52">
        <v>60</v>
      </c>
      <c r="B153" s="53" t="s">
        <v>2076</v>
      </c>
      <c r="C153" s="54">
        <v>14041</v>
      </c>
    </row>
    <row r="154" spans="1:3" ht="21">
      <c r="A154" s="52">
        <v>32</v>
      </c>
      <c r="B154" s="53" t="s">
        <v>2077</v>
      </c>
      <c r="C154" s="54">
        <v>28419</v>
      </c>
    </row>
    <row r="155" spans="1:3" ht="21">
      <c r="A155" s="52">
        <v>43</v>
      </c>
      <c r="B155" s="53" t="s">
        <v>2078</v>
      </c>
      <c r="C155" s="54">
        <v>21976</v>
      </c>
    </row>
    <row r="156" spans="1:3" ht="21">
      <c r="A156" s="52">
        <v>48</v>
      </c>
      <c r="B156" s="53" t="s">
        <v>2079</v>
      </c>
      <c r="C156" s="54">
        <v>19396</v>
      </c>
    </row>
    <row r="157" spans="1:3" ht="21">
      <c r="A157" s="52">
        <v>71</v>
      </c>
      <c r="B157" s="53" t="s">
        <v>2080</v>
      </c>
      <c r="C157" s="54">
        <v>9807</v>
      </c>
    </row>
    <row r="158" spans="1:3" ht="21">
      <c r="A158" s="52">
        <v>30</v>
      </c>
      <c r="B158" s="53" t="s">
        <v>255</v>
      </c>
      <c r="C158" s="54">
        <v>28578</v>
      </c>
    </row>
    <row r="159" spans="1:3" ht="21">
      <c r="A159" s="52">
        <v>58</v>
      </c>
      <c r="B159" s="53" t="s">
        <v>2081</v>
      </c>
      <c r="C159" s="54">
        <v>14423</v>
      </c>
    </row>
    <row r="160" spans="1:3" ht="21">
      <c r="A160" s="52">
        <v>17</v>
      </c>
      <c r="B160" s="53" t="s">
        <v>257</v>
      </c>
      <c r="C160" s="54">
        <v>46030</v>
      </c>
    </row>
    <row r="161" spans="1:3" ht="21">
      <c r="A161" s="52">
        <v>18</v>
      </c>
      <c r="B161" s="53" t="s">
        <v>258</v>
      </c>
      <c r="C161" s="54">
        <v>45072</v>
      </c>
    </row>
    <row r="162" spans="1:3" ht="21">
      <c r="A162" s="52">
        <v>46</v>
      </c>
      <c r="B162" s="53" t="s">
        <v>259</v>
      </c>
      <c r="C162" s="54">
        <v>20344</v>
      </c>
    </row>
    <row r="163" spans="1:3" ht="21">
      <c r="A163" s="52">
        <v>72</v>
      </c>
      <c r="B163" s="53" t="s">
        <v>853</v>
      </c>
      <c r="C163" s="54">
        <v>9727</v>
      </c>
    </row>
    <row r="164" spans="1:3" ht="21">
      <c r="A164" s="52">
        <v>74</v>
      </c>
      <c r="B164" s="53" t="s">
        <v>1396</v>
      </c>
      <c r="C164" s="54">
        <v>8727</v>
      </c>
    </row>
    <row r="165" spans="1:3" ht="21">
      <c r="A165" s="52">
        <v>52</v>
      </c>
      <c r="B165" s="53" t="s">
        <v>953</v>
      </c>
      <c r="C165" s="54">
        <v>18116</v>
      </c>
    </row>
    <row r="166" spans="1:3" ht="21">
      <c r="A166" s="52">
        <v>64</v>
      </c>
      <c r="B166" s="53" t="s">
        <v>2082</v>
      </c>
      <c r="C166" s="54">
        <v>12276</v>
      </c>
    </row>
    <row r="167" spans="1:3" ht="21">
      <c r="A167" s="52">
        <v>31</v>
      </c>
      <c r="B167" s="53" t="s">
        <v>2083</v>
      </c>
      <c r="C167" s="54">
        <v>28511</v>
      </c>
    </row>
  </sheetData>
  <hyperlinks>
    <hyperlink ref="B110" r:id="rId1" display="https://www.mississippi-demographics.com/hinds-county-demographics" xr:uid="{B74391D0-5258-1D41-BA2B-B49542C39CEA}"/>
    <hyperlink ref="B109" r:id="rId2" display="https://www.mississippi-demographics.com/harrison-county-demographics" xr:uid="{AC280C72-BD0F-D14D-95AA-7726DB0B75F9}"/>
    <hyperlink ref="B102" r:id="rId3" display="https://www.mississippi-demographics.com/desoto-county-demographics" xr:uid="{108C102E-61AC-FA40-99FA-53A026F44160}"/>
    <hyperlink ref="B146" r:id="rId4" display="https://www.mississippi-demographics.com/rankin-county-demographics" xr:uid="{56997E18-40D5-E645-980A-16BB0DCBDD7E}"/>
    <hyperlink ref="B115" r:id="rId5" display="https://www.mississippi-demographics.com/jackson-county-demographics" xr:uid="{7D9331C0-3ACD-2642-951D-34948A3B3C02}"/>
    <hyperlink ref="B130" r:id="rId6" display="https://www.mississippi-demographics.com/madison-county-demographics" xr:uid="{28D3A394-F75D-ED45-9A43-152E79FB81DC}"/>
    <hyperlink ref="B126" r:id="rId7" display="https://www.mississippi-demographics.com/lee-county-demographics" xr:uid="{516D9DA7-9E29-7445-8898-2DFAA00A58E7}"/>
    <hyperlink ref="B123" r:id="rId8" display="https://www.mississippi-demographics.com/lauderdale-county-demographics" xr:uid="{9F288A70-F6BE-1F4C-B75E-EBF48B9D9F3D}"/>
    <hyperlink ref="B103" r:id="rId9" display="https://www.mississippi-demographics.com/forrest-county-demographics" xr:uid="{A0224CED-DFAA-DA4C-895A-66C9C4F0795B}"/>
    <hyperlink ref="B119" r:id="rId10" display="https://www.mississippi-demographics.com/jones-county-demographics" xr:uid="{F27B7FBD-235E-AE44-9955-9D832A3991BF}"/>
    <hyperlink ref="B122" r:id="rId11" display="https://www.mississippi-demographics.com/lamar-county-demographics" xr:uid="{320081AF-097E-3344-85CC-9EE7BBEFA80F}"/>
    <hyperlink ref="B129" r:id="rId12" display="https://www.mississippi-demographics.com/lowndes-county-demographics" xr:uid="{CEA294F8-2A9F-8744-A7FE-954792BEB17F}"/>
    <hyperlink ref="B140" r:id="rId13" display="https://www.mississippi-demographics.com/pearl-river-county-demographics" xr:uid="{820DC763-EF37-494E-BBA5-1E8DA57946A2}"/>
    <hyperlink ref="B121" r:id="rId14" display="https://www.mississippi-demographics.com/lafayette-county-demographics" xr:uid="{6029C41A-34C8-2D4C-B56F-B730F4C90395}"/>
    <hyperlink ref="B138" r:id="rId15" display="https://www.mississippi-demographics.com/oktibbeha-county-demographics" xr:uid="{507FB68F-CD1B-4849-8A94-28B054C77DC2}"/>
    <hyperlink ref="B108" r:id="rId16" display="https://www.mississippi-demographics.com/hancock-county-demographics" xr:uid="{9F89F098-D422-8E4A-A3DE-654BEFE538D3}"/>
    <hyperlink ref="B160" r:id="rId17" display="https://www.mississippi-demographics.com/warren-county-demographics" xr:uid="{2138FF3E-B1D2-4A47-9914-F2616B4FA1B0}"/>
    <hyperlink ref="B161" r:id="rId18" display="https://www.mississippi-demographics.com/washington-county-demographics" xr:uid="{5FF70F62-496D-1348-9D52-74A7122DEFC2}"/>
    <hyperlink ref="B142" r:id="rId19" display="https://www.mississippi-demographics.com/pike-county-demographics" xr:uid="{80EE5C81-CA7E-FD43-AEB3-B6133E176B3B}"/>
    <hyperlink ref="B87" r:id="rId20" display="https://www.mississippi-demographics.com/alcorn-county-demographics" xr:uid="{4C97AF22-A11E-EF4E-911D-1EC0CC0511AF}"/>
    <hyperlink ref="B133" r:id="rId21" display="https://www.mississippi-demographics.com/monroe-county-demographics" xr:uid="{80768A61-BC62-0142-A78B-34539B058350}"/>
    <hyperlink ref="B132" r:id="rId22" display="https://www.mississippi-demographics.com/marshall-county-demographics" xr:uid="{13C6061E-00D7-3D4E-A54E-39158282A613}"/>
    <hyperlink ref="B128" r:id="rId23" display="https://www.mississippi-demographics.com/lincoln-county-demographics" xr:uid="{99DDDC0E-0117-6C44-8D0C-B9F2260528D8}"/>
    <hyperlink ref="B139" r:id="rId24" display="https://www.mississippi-demographics.com/panola-county-demographics" xr:uid="{9A219E1E-F3FE-C74A-A19E-1CC4BE6E2A38}"/>
    <hyperlink ref="B143" r:id="rId25" display="https://www.mississippi-demographics.com/pontotoc-county-demographics" xr:uid="{54F82BD3-514A-B441-911A-29DACBFEC767}"/>
    <hyperlink ref="B91" r:id="rId26" display="https://www.mississippi-demographics.com/bolivar-county-demographics" xr:uid="{853F71B8-B91C-F14B-996E-CF348ABB0612}"/>
    <hyperlink ref="B86" r:id="rId27" display="https://www.mississippi-demographics.com/adams-county-demographics" xr:uid="{15F6D288-1999-C047-A8B7-51656F423457}"/>
    <hyperlink ref="B135" r:id="rId28" display="https://www.mississippi-demographics.com/neshoba-county-demographics" xr:uid="{B3F9C9F2-137F-1948-AB21-2D3BA14D0D5C}"/>
    <hyperlink ref="B127" r:id="rId29" display="https://www.mississippi-demographics.com/leflore-county-demographics" xr:uid="{2AE883F9-79E0-1C4D-95CE-5CE31D368566}"/>
    <hyperlink ref="B158" r:id="rId30" display="https://www.mississippi-demographics.com/union-county-demographics" xr:uid="{39087528-CE8B-B641-B632-2789906A5A67}"/>
    <hyperlink ref="B167" r:id="rId31" display="https://www.mississippi-demographics.com/yazoo-county-demographics" xr:uid="{A37AE15B-7E62-994C-8CAB-189B09EAD2FB}"/>
    <hyperlink ref="B154" r:id="rId32" display="https://www.mississippi-demographics.com/tate-county-demographics" xr:uid="{8B21B92E-C784-9241-90D5-BEDF52A76185}"/>
    <hyperlink ref="B100" r:id="rId33" display="https://www.mississippi-demographics.com/copiah-county-demographics" xr:uid="{BB23D5EE-75D4-E741-B9C4-CC0A5A521ED0}"/>
    <hyperlink ref="B147" r:id="rId34" display="https://www.mississippi-demographics.com/scott-county-demographics" xr:uid="{E49B822A-ABCC-CD42-9BA5-C3F20F2344E2}"/>
    <hyperlink ref="B149" r:id="rId35" display="https://www.mississippi-demographics.com/simpson-county-demographics" xr:uid="{3556AEB8-BBD1-2449-830E-709D5568AB7F}"/>
    <hyperlink ref="B152" r:id="rId36" display="https://www.mississippi-demographics.com/sunflower-county-demographics" xr:uid="{831BC29A-7802-1742-82A5-7299779AE82E}"/>
    <hyperlink ref="B144" r:id="rId37" display="https://www.mississippi-demographics.com/prentiss-county-demographics" xr:uid="{312A2445-3194-D34E-AC8A-110D8B4F9662}"/>
    <hyperlink ref="B131" r:id="rId38" display="https://www.mississippi-demographics.com/marion-county-demographics" xr:uid="{EA3ABFA9-F039-4F44-B11F-483A270081FC}"/>
    <hyperlink ref="B105" r:id="rId39" display="https://www.mississippi-demographics.com/george-county-demographics" xr:uid="{D35FEA5C-9E91-5841-B6E7-25CED4C48159}"/>
    <hyperlink ref="B114" r:id="rId40" display="https://www.mississippi-demographics.com/itawamba-county-demographics" xr:uid="{463ABFBF-AFF8-A849-AEF4-FF3D590D447C}"/>
    <hyperlink ref="B125" r:id="rId41" display="https://www.mississippi-demographics.com/leake-county-demographics" xr:uid="{35E10131-98C8-E644-92AA-DB4D17FA532E}"/>
    <hyperlink ref="B99" r:id="rId42" display="https://www.mississippi-demographics.com/coahoma-county-demographics" xr:uid="{D359928E-693A-C349-A283-40BFF9603B0E}"/>
    <hyperlink ref="B155" r:id="rId43" display="https://www.mississippi-demographics.com/tippah-county-demographics" xr:uid="{9F8D6107-4C24-0347-BA44-5CFC7E3D74F5}"/>
    <hyperlink ref="B136" r:id="rId44" display="https://www.mississippi-demographics.com/newton-county-demographics" xr:uid="{AC11B781-345D-4948-B7D0-EC1CE98BBE38}"/>
    <hyperlink ref="B107" r:id="rId45" display="https://www.mississippi-demographics.com/grenada-county-demographics" xr:uid="{3106F55A-38AE-7F4E-848D-5EF23866C91A}"/>
    <hyperlink ref="B162" r:id="rId46" display="https://www.mississippi-demographics.com/wayne-county-demographics" xr:uid="{CCEC17B4-09DA-B642-9177-F4702EB2361A}"/>
    <hyperlink ref="B98" r:id="rId47" display="https://www.mississippi-demographics.com/clay-county-demographics" xr:uid="{16965F7F-9D21-8149-854F-9A64E4767317}"/>
    <hyperlink ref="B156" r:id="rId48" display="https://www.mississippi-demographics.com/tishomingo-county-demographics" xr:uid="{9F5E343C-9FA7-FB40-A772-CC1EA6789893}"/>
    <hyperlink ref="B101" r:id="rId49" display="https://www.mississippi-demographics.com/covington-county-demographics" xr:uid="{E58516F0-FA1E-A940-9D89-52B6C6852C04}"/>
    <hyperlink ref="B89" r:id="rId50" display="https://www.mississippi-demographics.com/attala-county-demographics" xr:uid="{B97B6A47-FC3C-1C44-B292-4E128555E8D4}"/>
    <hyperlink ref="B151" r:id="rId51" display="https://www.mississippi-demographics.com/stone-county-demographics" xr:uid="{9138C761-D8FE-5840-BA09-27C7CBF37FED}"/>
    <hyperlink ref="B165" r:id="rId52" display="https://www.mississippi-demographics.com/winston-county-demographics" xr:uid="{0D507A30-7F22-3947-97AA-07D4405A16DC}"/>
    <hyperlink ref="B111" r:id="rId53" display="https://www.mississippi-demographics.com/holmes-county-demographics" xr:uid="{0D82C38B-CF16-864D-9040-8A68E50D98F2}"/>
    <hyperlink ref="B94" r:id="rId54" display="https://www.mississippi-demographics.com/chickasaw-county-demographics" xr:uid="{FE2108E0-ED74-7049-81E7-012B3492C036}"/>
    <hyperlink ref="B116" r:id="rId55" display="https://www.mississippi-demographics.com/jasper-county-demographics" xr:uid="{5448A6F2-90E4-1A45-AB3E-67BAA80B1172}"/>
    <hyperlink ref="B150" r:id="rId56" display="https://www.mississippi-demographics.com/smith-county-demographics" xr:uid="{C0407603-A1EA-B84F-A693-3333984A1370}"/>
    <hyperlink ref="B97" r:id="rId57" display="https://www.mississippi-demographics.com/clarke-county-demographics" xr:uid="{F1734EF2-7251-BE4F-8326-75BA96B21532}"/>
    <hyperlink ref="B159" r:id="rId58" display="https://www.mississippi-demographics.com/walthall-county-demographics" xr:uid="{BE237B48-9703-D44E-841C-C6411CAE2038}"/>
    <hyperlink ref="B92" r:id="rId59" display="https://www.mississippi-demographics.com/calhoun-county-demographics" xr:uid="{E50E5234-E758-C240-B6A1-63ABCC434151}"/>
    <hyperlink ref="B153" r:id="rId60" display="https://www.mississippi-demographics.com/tallahatchie-county-demographics" xr:uid="{21455523-77DF-D04B-89CE-4FA66D8E48CB}"/>
    <hyperlink ref="B106" r:id="rId61" display="https://www.mississippi-demographics.com/greene-county-demographics" xr:uid="{B956F6B4-DAA1-4F46-AED3-FDD57B01FA31}"/>
    <hyperlink ref="B124" r:id="rId62" display="https://www.mississippi-demographics.com/lawrence-county-demographics" xr:uid="{1DB07C83-4734-044A-BE13-D9298BB16601}"/>
    <hyperlink ref="B88" r:id="rId63" display="https://www.mississippi-demographics.com/amite-county-demographics" xr:uid="{7EC020F4-0688-BB47-A049-12D19DB289E5}"/>
    <hyperlink ref="B166" r:id="rId64" display="https://www.mississippi-demographics.com/yalobusha-county-demographics" xr:uid="{B6B272B1-CF56-EB4F-A706-62541703C975}"/>
    <hyperlink ref="B141" r:id="rId65" display="https://www.mississippi-demographics.com/perry-county-demographics" xr:uid="{0A1445F5-3C06-254C-8BF4-D3161B51D1BB}"/>
    <hyperlink ref="B118" r:id="rId66" display="https://www.mississippi-demographics.com/jefferson-davis-county-demographics" xr:uid="{3BBA7AB2-16D5-AF4E-A33E-55E488B9F05D}"/>
    <hyperlink ref="B137" r:id="rId67" display="https://www.mississippi-demographics.com/noxubee-county-demographics" xr:uid="{9054E849-B9E2-2A43-886B-834F228B8685}"/>
    <hyperlink ref="B93" r:id="rId68" display="https://www.mississippi-demographics.com/carroll-county-demographics" xr:uid="{664AE7F3-83D3-6446-A2D5-272FFD67F6FB}"/>
    <hyperlink ref="B134" r:id="rId69" display="https://www.mississippi-demographics.com/montgomery-county-demographics" xr:uid="{57EB498D-7F10-A24D-AD1E-2E2876B77E72}"/>
    <hyperlink ref="B120" r:id="rId70" display="https://www.mississippi-demographics.com/kemper-county-demographics" xr:uid="{1C03DE89-E4CD-F745-999D-76CADE843FB0}"/>
    <hyperlink ref="B157" r:id="rId71" display="https://www.mississippi-demographics.com/tunica-county-demographics" xr:uid="{3A941396-1DD5-6F4C-9DDD-2491AA739B61}"/>
    <hyperlink ref="B163" r:id="rId72" display="https://www.mississippi-demographics.com/webster-county-demographics" xr:uid="{85E1366F-E711-4C45-B153-4D553095BD6E}"/>
    <hyperlink ref="B96" r:id="rId73" display="https://www.mississippi-demographics.com/claiborne-county-demographics" xr:uid="{7A3CE6E4-5ACA-BA4D-AC65-C32E7FD5EB9D}"/>
    <hyperlink ref="B164" r:id="rId74" display="https://www.mississippi-demographics.com/wilkinson-county-demographics" xr:uid="{4B723E16-077A-054E-8942-9B8A61E238CC}"/>
    <hyperlink ref="B90" r:id="rId75" display="https://www.mississippi-demographics.com/benton-county-demographics" xr:uid="{2899F6E7-D271-DC43-BDD6-1E2F21985C29}"/>
    <hyperlink ref="B95" r:id="rId76" display="https://www.mississippi-demographics.com/choctaw-county-demographics" xr:uid="{05CB7A58-4BB0-6347-814E-E04FBCF56E4F}"/>
    <hyperlink ref="B112" r:id="rId77" display="https://www.mississippi-demographics.com/humphreys-county-demographics" xr:uid="{9E1428FB-AE03-3843-86FF-79DC0EB7CC1C}"/>
    <hyperlink ref="B104" r:id="rId78" display="https://www.mississippi-demographics.com/franklin-county-demographics" xr:uid="{72031FE7-9E25-834C-A514-F15FB79721EC}"/>
    <hyperlink ref="B117" r:id="rId79" display="https://www.mississippi-demographics.com/jefferson-county-demographics" xr:uid="{79C7B4BF-2C64-1840-BB1F-E6B05E060F4E}"/>
    <hyperlink ref="B145" r:id="rId80" display="https://www.mississippi-demographics.com/quitman-county-demographics" xr:uid="{362BBF1C-D5F4-3D43-9915-99230189DFFA}"/>
    <hyperlink ref="B148" r:id="rId81" display="https://www.mississippi-demographics.com/sharkey-county-demographics" xr:uid="{A9ED3A31-82F9-3041-8424-341201B92F35}"/>
    <hyperlink ref="B113" r:id="rId82" display="https://www.mississippi-demographics.com/issaquena-county-demographics" xr:uid="{0054ED93-24B5-1F46-B890-6078BE08C3DB}"/>
  </hyperlinks>
  <pageMargins left="0.7" right="0.7" top="0.75" bottom="0.75" header="0.3" footer="0.3"/>
  <tableParts count="3">
    <tablePart r:id="rId83"/>
    <tablePart r:id="rId84"/>
    <tablePart r:id="rId8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841C-5381-4B44-B4A3-CB68C07259D9}">
  <dimension ref="A1:Q233"/>
  <sheetViews>
    <sheetView topLeftCell="B1"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</cols>
  <sheetData>
    <row r="1" spans="1:17" ht="21">
      <c r="A1" s="95" t="s">
        <v>64</v>
      </c>
      <c r="B1" s="95" t="s">
        <v>1674</v>
      </c>
      <c r="C1" s="95" t="s">
        <v>1702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1489</v>
      </c>
      <c r="B2" s="78" t="s">
        <v>297</v>
      </c>
      <c r="C2" s="78">
        <v>53</v>
      </c>
      <c r="D2" s="78">
        <f>Table61[[#This Row],[2019]]/C119</f>
        <v>2.0810428773362652E-3</v>
      </c>
      <c r="F2" s="16" t="s">
        <v>1531</v>
      </c>
      <c r="G2" s="17">
        <v>6413</v>
      </c>
      <c r="H2" s="80">
        <f>Table62[[#This Row],[TRUMP VOTES]]/C119</f>
        <v>0.25180618815768807</v>
      </c>
      <c r="I2" s="18">
        <v>0.621</v>
      </c>
      <c r="J2" s="17">
        <v>3710</v>
      </c>
      <c r="K2" s="80">
        <f>Table62[[#This Row],[BIDEN VOTES]]/C119</f>
        <v>0.14567300141353856</v>
      </c>
      <c r="L2" s="18">
        <v>0.35899999999999999</v>
      </c>
      <c r="M2" s="80">
        <f>1-(Table62[[#This Row],[NbP]]+Table62[[#This Row],[NbP2]])</f>
        <v>0.60252081042877337</v>
      </c>
      <c r="O2" t="s">
        <v>1671</v>
      </c>
      <c r="P2" s="37">
        <f>CORREL(D:D,H:H)</f>
        <v>-1.0401172495788594E-2</v>
      </c>
      <c r="Q2">
        <v>0.1</v>
      </c>
    </row>
    <row r="3" spans="1:17" ht="20">
      <c r="A3" s="78" t="s">
        <v>2084</v>
      </c>
      <c r="B3" s="78" t="s">
        <v>297</v>
      </c>
      <c r="C3" s="78">
        <v>3</v>
      </c>
      <c r="D3" s="78">
        <f>Table61[[#This Row],[2019]]/C120</f>
        <v>1.7090121909536289E-4</v>
      </c>
      <c r="F3" s="16" t="s">
        <v>2128</v>
      </c>
      <c r="G3" s="17">
        <v>7255</v>
      </c>
      <c r="H3" s="80">
        <f>Table62[[#This Row],[TRUMP VOTES]]/C120</f>
        <v>0.41329611484561923</v>
      </c>
      <c r="I3" s="18">
        <v>0.74399999999999999</v>
      </c>
      <c r="J3" s="17">
        <v>2351</v>
      </c>
      <c r="K3" s="80">
        <f>Table62[[#This Row],[BIDEN VOTES]]/C120</f>
        <v>0.13392958869773272</v>
      </c>
      <c r="L3" s="18">
        <v>0.24099999999999999</v>
      </c>
      <c r="M3" s="80">
        <f>1-(Table62[[#This Row],[NbP]]+Table62[[#This Row],[NbP2]])</f>
        <v>0.45277429645664802</v>
      </c>
      <c r="O3" t="s">
        <v>1672</v>
      </c>
      <c r="P3">
        <f>CORREL(D:D,K:K)</f>
        <v>-0.34608354940897396</v>
      </c>
      <c r="Q3">
        <v>0.01</v>
      </c>
    </row>
    <row r="4" spans="1:17" ht="20">
      <c r="A4" s="78" t="s">
        <v>2085</v>
      </c>
      <c r="B4" s="78" t="s">
        <v>297</v>
      </c>
      <c r="C4" s="78">
        <v>6</v>
      </c>
      <c r="D4" s="78">
        <f>Table61[[#This Row],[2019]]/C121</f>
        <v>1.1583011583011582E-3</v>
      </c>
      <c r="F4" s="16" t="s">
        <v>2129</v>
      </c>
      <c r="G4" s="17">
        <v>2199</v>
      </c>
      <c r="H4" s="80">
        <f>Table62[[#This Row],[TRUMP VOTES]]/C121</f>
        <v>0.42451737451737453</v>
      </c>
      <c r="I4" s="18">
        <v>0.78100000000000003</v>
      </c>
      <c r="J4" s="19">
        <v>564</v>
      </c>
      <c r="K4" s="80">
        <f>Table62[[#This Row],[BIDEN VOTES]]/C121</f>
        <v>0.10888030888030888</v>
      </c>
      <c r="L4" s="18">
        <v>0.2</v>
      </c>
      <c r="M4" s="80">
        <f>1-(Table62[[#This Row],[NbP]]+Table62[[#This Row],[NbP2]])</f>
        <v>0.46660231660231655</v>
      </c>
      <c r="O4" t="s">
        <v>1679</v>
      </c>
      <c r="P4">
        <f>CORREL(D:D,M:M)</f>
        <v>0.36145938198267502</v>
      </c>
      <c r="Q4">
        <v>0.01</v>
      </c>
    </row>
    <row r="5" spans="1:17" ht="20">
      <c r="A5" s="78" t="s">
        <v>2086</v>
      </c>
      <c r="B5" s="78" t="s">
        <v>297</v>
      </c>
      <c r="C5" s="78">
        <v>29</v>
      </c>
      <c r="D5" s="78">
        <f>Table61[[#This Row],[2019]]/C122</f>
        <v>1.1446163561730344E-3</v>
      </c>
      <c r="F5" s="16" t="s">
        <v>2130</v>
      </c>
      <c r="G5" s="17">
        <v>7732</v>
      </c>
      <c r="H5" s="80">
        <f>Table62[[#This Row],[TRUMP VOTES]]/C122</f>
        <v>0.30517840227344489</v>
      </c>
      <c r="I5" s="18">
        <v>0.72599999999999998</v>
      </c>
      <c r="J5" s="17">
        <v>2704</v>
      </c>
      <c r="K5" s="80">
        <f>Table62[[#This Row],[BIDEN VOTES]]/C122</f>
        <v>0.10672560783075466</v>
      </c>
      <c r="L5" s="18">
        <v>0.254</v>
      </c>
      <c r="M5" s="80">
        <f>1-(Table62[[#This Row],[NbP]]+Table62[[#This Row],[NbP2]])</f>
        <v>0.58809598989580048</v>
      </c>
    </row>
    <row r="6" spans="1:17" ht="20">
      <c r="A6" s="78" t="s">
        <v>1756</v>
      </c>
      <c r="B6" s="78" t="s">
        <v>297</v>
      </c>
      <c r="C6" s="78">
        <v>46</v>
      </c>
      <c r="D6" s="78">
        <f>Table61[[#This Row],[2019]]/C123</f>
        <v>1.2915906219289626E-3</v>
      </c>
      <c r="F6" s="16" t="s">
        <v>1821</v>
      </c>
      <c r="G6" s="17">
        <v>12425</v>
      </c>
      <c r="H6" s="80">
        <f>Table62[[#This Row],[TRUMP VOTES]]/C123</f>
        <v>0.34886985820581218</v>
      </c>
      <c r="I6" s="18">
        <v>0.79700000000000004</v>
      </c>
      <c r="J6" s="17">
        <v>2948</v>
      </c>
      <c r="K6" s="80">
        <f>Table62[[#This Row],[BIDEN VOTES]]/C123</f>
        <v>8.2774112031447425E-2</v>
      </c>
      <c r="L6" s="18">
        <v>0.189</v>
      </c>
      <c r="M6" s="80">
        <f>1-(Table62[[#This Row],[NbP]]+Table62[[#This Row],[NbP2]])</f>
        <v>0.56835602976274036</v>
      </c>
    </row>
    <row r="7" spans="1:17" ht="20">
      <c r="A7" s="78" t="s">
        <v>2087</v>
      </c>
      <c r="B7" s="78" t="s">
        <v>297</v>
      </c>
      <c r="C7" s="78">
        <v>10</v>
      </c>
      <c r="D7" s="78">
        <f>Table61[[#This Row],[2019]]/C124</f>
        <v>8.5236958745311963E-4</v>
      </c>
      <c r="F7" s="16" t="s">
        <v>2131</v>
      </c>
      <c r="G7" s="17">
        <v>5168</v>
      </c>
      <c r="H7" s="80">
        <f>Table62[[#This Row],[TRUMP VOTES]]/C124</f>
        <v>0.44050460279577225</v>
      </c>
      <c r="I7" s="18">
        <v>0.85</v>
      </c>
      <c r="J7" s="19">
        <v>844</v>
      </c>
      <c r="K7" s="80">
        <f>Table62[[#This Row],[BIDEN VOTES]]/C124</f>
        <v>7.1939993181043299E-2</v>
      </c>
      <c r="L7" s="18">
        <v>0.13900000000000001</v>
      </c>
      <c r="M7" s="80">
        <f>1-(Table62[[#This Row],[NbP]]+Table62[[#This Row],[NbP2]])</f>
        <v>0.48755540402318442</v>
      </c>
    </row>
    <row r="8" spans="1:17" ht="20">
      <c r="A8" s="78" t="s">
        <v>2088</v>
      </c>
      <c r="B8" s="78" t="s">
        <v>297</v>
      </c>
      <c r="C8" s="78">
        <v>15</v>
      </c>
      <c r="D8" s="78">
        <f>Table61[[#This Row],[2019]]/C125</f>
        <v>9.2126274413462724E-4</v>
      </c>
      <c r="F8" s="16" t="s">
        <v>2132</v>
      </c>
      <c r="G8" s="17">
        <v>6597</v>
      </c>
      <c r="H8" s="80">
        <f>Table62[[#This Row],[TRUMP VOTES]]/C125</f>
        <v>0.40517135487040906</v>
      </c>
      <c r="I8" s="18">
        <v>0.78400000000000003</v>
      </c>
      <c r="J8" s="17">
        <v>1672</v>
      </c>
      <c r="K8" s="80">
        <f>Table62[[#This Row],[BIDEN VOTES]]/C125</f>
        <v>0.10269008721287311</v>
      </c>
      <c r="L8" s="18">
        <v>0.19900000000000001</v>
      </c>
      <c r="M8" s="80">
        <f>1-(Table62[[#This Row],[NbP]]+Table62[[#This Row],[NbP2]])</f>
        <v>0.49213855791671779</v>
      </c>
    </row>
    <row r="9" spans="1:17" ht="20">
      <c r="A9" s="78" t="s">
        <v>73</v>
      </c>
      <c r="B9" s="78" t="s">
        <v>297</v>
      </c>
      <c r="C9" s="78">
        <v>11</v>
      </c>
      <c r="D9" s="78">
        <f>Table61[[#This Row],[2019]]/C126</f>
        <v>5.6980056980056976E-4</v>
      </c>
      <c r="F9" s="16" t="s">
        <v>172</v>
      </c>
      <c r="G9" s="17">
        <v>8109</v>
      </c>
      <c r="H9" s="80">
        <f>Table62[[#This Row],[TRUMP VOTES]]/C126</f>
        <v>0.42004662004662002</v>
      </c>
      <c r="I9" s="18">
        <v>0.77400000000000002</v>
      </c>
      <c r="J9" s="17">
        <v>2180</v>
      </c>
      <c r="K9" s="80">
        <f>Table62[[#This Row],[BIDEN VOTES]]/C126</f>
        <v>0.11292411292411292</v>
      </c>
      <c r="L9" s="18">
        <v>0.20799999999999999</v>
      </c>
      <c r="M9" s="80">
        <f>1-(Table62[[#This Row],[NbP]]+Table62[[#This Row],[NbP2]])</f>
        <v>0.46702926702926706</v>
      </c>
    </row>
    <row r="10" spans="1:17" ht="20">
      <c r="A10" s="78" t="s">
        <v>2089</v>
      </c>
      <c r="B10" s="78" t="s">
        <v>297</v>
      </c>
      <c r="C10" s="78">
        <v>38</v>
      </c>
      <c r="D10" s="78">
        <f>Table61[[#This Row],[2019]]/C127</f>
        <v>3.1196125112880717E-3</v>
      </c>
      <c r="F10" s="16" t="s">
        <v>2133</v>
      </c>
      <c r="G10" s="17">
        <v>5167</v>
      </c>
      <c r="H10" s="80">
        <f>Table62[[#This Row],[TRUMP VOTES]]/C127</f>
        <v>0.42418520646909119</v>
      </c>
      <c r="I10" s="18">
        <v>0.86399999999999999</v>
      </c>
      <c r="J10" s="19">
        <v>750</v>
      </c>
      <c r="K10" s="80">
        <f>Table62[[#This Row],[BIDEN VOTES]]/C127</f>
        <v>6.1571299564896147E-2</v>
      </c>
      <c r="L10" s="18">
        <v>0.125</v>
      </c>
      <c r="M10" s="80">
        <f>1-(Table62[[#This Row],[NbP]]+Table62[[#This Row],[NbP2]])</f>
        <v>0.51424349396601265</v>
      </c>
    </row>
    <row r="11" spans="1:17" ht="20">
      <c r="A11" s="78" t="s">
        <v>859</v>
      </c>
      <c r="B11" s="78" t="s">
        <v>297</v>
      </c>
      <c r="C11" s="78">
        <v>161</v>
      </c>
      <c r="D11" s="78">
        <f>Table61[[#This Row],[2019]]/C128</f>
        <v>8.9591773138049239E-4</v>
      </c>
      <c r="F11" s="16" t="s">
        <v>827</v>
      </c>
      <c r="G11" s="17">
        <v>38646</v>
      </c>
      <c r="H11" s="80">
        <f>Table62[[#This Row],[TRUMP VOTES]]/C128</f>
        <v>0.21505364376975472</v>
      </c>
      <c r="I11" s="18">
        <v>0.42399999999999999</v>
      </c>
      <c r="J11" s="17">
        <v>50064</v>
      </c>
      <c r="K11" s="80">
        <f>Table62[[#This Row],[BIDEN VOTES]]/C128</f>
        <v>0.27859146151449049</v>
      </c>
      <c r="L11" s="18">
        <v>0.54900000000000004</v>
      </c>
      <c r="M11" s="80">
        <f>1-(Table62[[#This Row],[NbP]]+Table62[[#This Row],[NbP2]])</f>
        <v>0.50635489471575479</v>
      </c>
    </row>
    <row r="12" spans="1:17" ht="20">
      <c r="A12" s="78" t="s">
        <v>1495</v>
      </c>
      <c r="B12" s="78" t="s">
        <v>297</v>
      </c>
      <c r="C12" s="78">
        <v>75</v>
      </c>
      <c r="D12" s="78">
        <f>Table61[[#This Row],[2019]]/C129</f>
        <v>8.5320349472151437E-4</v>
      </c>
      <c r="F12" s="16" t="s">
        <v>1537</v>
      </c>
      <c r="G12" s="17">
        <v>22450</v>
      </c>
      <c r="H12" s="80">
        <f>Table62[[#This Row],[TRUMP VOTES]]/C129</f>
        <v>0.25539224608663996</v>
      </c>
      <c r="I12" s="18">
        <v>0.61299999999999999</v>
      </c>
      <c r="J12" s="17">
        <v>13445</v>
      </c>
      <c r="K12" s="80">
        <f>Table62[[#This Row],[BIDEN VOTES]]/C129</f>
        <v>0.1529509464870768</v>
      </c>
      <c r="L12" s="18">
        <v>0.36699999999999999</v>
      </c>
      <c r="M12" s="80">
        <f>1-(Table62[[#This Row],[NbP]]+Table62[[#This Row],[NbP2]])</f>
        <v>0.59165680742628324</v>
      </c>
    </row>
    <row r="13" spans="1:17" ht="20">
      <c r="A13" s="78" t="s">
        <v>893</v>
      </c>
      <c r="B13" s="78" t="s">
        <v>297</v>
      </c>
      <c r="C13" s="78">
        <v>136</v>
      </c>
      <c r="D13" s="78">
        <f>Table61[[#This Row],[2019]]/C130</f>
        <v>3.1947380784590087E-3</v>
      </c>
      <c r="F13" s="16" t="s">
        <v>926</v>
      </c>
      <c r="G13" s="17">
        <v>14602</v>
      </c>
      <c r="H13" s="80">
        <f>Table62[[#This Row],[TRUMP VOTES]]/C130</f>
        <v>0.34301151045337092</v>
      </c>
      <c r="I13" s="18">
        <v>0.80500000000000005</v>
      </c>
      <c r="J13" s="17">
        <v>3301</v>
      </c>
      <c r="K13" s="80">
        <f>Table62[[#This Row],[BIDEN VOTES]]/C130</f>
        <v>7.7542870566126382E-2</v>
      </c>
      <c r="L13" s="18">
        <v>0.182</v>
      </c>
      <c r="M13" s="80">
        <f>1-(Table62[[#This Row],[NbP]]+Table62[[#This Row],[NbP2]])</f>
        <v>0.57944561898050273</v>
      </c>
    </row>
    <row r="14" spans="1:17" ht="20">
      <c r="A14" s="78" t="s">
        <v>585</v>
      </c>
      <c r="B14" s="78" t="s">
        <v>297</v>
      </c>
      <c r="C14" s="78">
        <v>1</v>
      </c>
      <c r="D14" s="78">
        <f>Table61[[#This Row],[2019]]/C131</f>
        <v>1.104728236853734E-4</v>
      </c>
      <c r="F14" s="16" t="s">
        <v>357</v>
      </c>
      <c r="G14" s="17">
        <v>3725</v>
      </c>
      <c r="H14" s="80">
        <f>Table62[[#This Row],[TRUMP VOTES]]/C131</f>
        <v>0.41151126822801593</v>
      </c>
      <c r="I14" s="18">
        <v>0.79600000000000004</v>
      </c>
      <c r="J14" s="19">
        <v>897</v>
      </c>
      <c r="K14" s="80">
        <f>Table62[[#This Row],[BIDEN VOTES]]/C131</f>
        <v>9.9094122845779939E-2</v>
      </c>
      <c r="L14" s="18">
        <v>0.192</v>
      </c>
      <c r="M14" s="80">
        <f>1-(Table62[[#This Row],[NbP]]+Table62[[#This Row],[NbP2]])</f>
        <v>0.48939460892620412</v>
      </c>
    </row>
    <row r="15" spans="1:17" ht="20">
      <c r="A15" s="78" t="s">
        <v>2090</v>
      </c>
      <c r="B15" s="78" t="s">
        <v>297</v>
      </c>
      <c r="C15" s="78">
        <v>67</v>
      </c>
      <c r="D15" s="78">
        <f>Table61[[#This Row],[2019]]/C132</f>
        <v>1.4907440370238519E-3</v>
      </c>
      <c r="F15" s="16" t="s">
        <v>2134</v>
      </c>
      <c r="G15" s="17">
        <v>14815</v>
      </c>
      <c r="H15" s="80">
        <f>Table62[[#This Row],[TRUMP VOTES]]/C132</f>
        <v>0.3296324314702741</v>
      </c>
      <c r="I15" s="18">
        <v>0.70099999999999996</v>
      </c>
      <c r="J15" s="17">
        <v>5870</v>
      </c>
      <c r="K15" s="80">
        <f>Table62[[#This Row],[BIDEN VOTES]]/C132</f>
        <v>0.13060697757208972</v>
      </c>
      <c r="L15" s="18">
        <v>0.27800000000000002</v>
      </c>
      <c r="M15" s="80">
        <f>1-(Table62[[#This Row],[NbP]]+Table62[[#This Row],[NbP2]])</f>
        <v>0.53976059095763618</v>
      </c>
    </row>
    <row r="16" spans="1:17" ht="20">
      <c r="A16" s="78" t="s">
        <v>806</v>
      </c>
      <c r="B16" s="78" t="s">
        <v>297</v>
      </c>
      <c r="C16" s="78">
        <v>61</v>
      </c>
      <c r="D16" s="78">
        <f>Table61[[#This Row],[2019]]/C133</f>
        <v>1.3312092180782576E-3</v>
      </c>
      <c r="F16" s="16" t="s">
        <v>788</v>
      </c>
      <c r="G16" s="17">
        <v>18850</v>
      </c>
      <c r="H16" s="80">
        <f>Table62[[#This Row],[TRUMP VOTES]]/C133</f>
        <v>0.41136547148811731</v>
      </c>
      <c r="I16" s="18">
        <v>0.76</v>
      </c>
      <c r="J16" s="17">
        <v>5652</v>
      </c>
      <c r="K16" s="80">
        <f>Table62[[#This Row],[BIDEN VOTES]]/C133</f>
        <v>0.12334417214062807</v>
      </c>
      <c r="L16" s="18">
        <v>0.22800000000000001</v>
      </c>
      <c r="M16" s="80">
        <f>1-(Table62[[#This Row],[NbP]]+Table62[[#This Row],[NbP2]])</f>
        <v>0.4652903563712546</v>
      </c>
    </row>
    <row r="17" spans="1:13" ht="20">
      <c r="A17" s="78" t="s">
        <v>2091</v>
      </c>
      <c r="B17" s="78" t="s">
        <v>297</v>
      </c>
      <c r="C17" s="78">
        <v>140</v>
      </c>
      <c r="D17" s="78">
        <f>Table61[[#This Row],[2019]]/C134</f>
        <v>1.7758835020422661E-3</v>
      </c>
      <c r="F17" s="16" t="s">
        <v>2135</v>
      </c>
      <c r="G17" s="17">
        <v>28907</v>
      </c>
      <c r="H17" s="80">
        <f>Table62[[#This Row],[TRUMP VOTES]]/C134</f>
        <v>0.36668188852525557</v>
      </c>
      <c r="I17" s="18">
        <v>0.71699999999999997</v>
      </c>
      <c r="J17" s="17">
        <v>10760</v>
      </c>
      <c r="K17" s="80">
        <f>Table62[[#This Row],[BIDEN VOTES]]/C134</f>
        <v>0.1364893320141056</v>
      </c>
      <c r="L17" s="18">
        <v>0.26700000000000002</v>
      </c>
      <c r="M17" s="80">
        <f>1-(Table62[[#This Row],[NbP]]+Table62[[#This Row],[NbP2]])</f>
        <v>0.49682877946063886</v>
      </c>
    </row>
    <row r="18" spans="1:13" ht="20">
      <c r="A18" s="78" t="s">
        <v>79</v>
      </c>
      <c r="B18" s="78" t="s">
        <v>297</v>
      </c>
      <c r="C18" s="78">
        <v>5</v>
      </c>
      <c r="D18" s="78">
        <f>Table61[[#This Row],[2019]]/C135</f>
        <v>5.7319729450876992E-4</v>
      </c>
      <c r="F18" s="16" t="s">
        <v>178</v>
      </c>
      <c r="G18" s="17">
        <v>3706</v>
      </c>
      <c r="H18" s="80">
        <f>Table62[[#This Row],[TRUMP VOTES]]/C135</f>
        <v>0.42485383468990029</v>
      </c>
      <c r="I18" s="18">
        <v>0.81799999999999995</v>
      </c>
      <c r="J18" s="19">
        <v>786</v>
      </c>
      <c r="K18" s="80">
        <f>Table62[[#This Row],[BIDEN VOTES]]/C135</f>
        <v>9.0106614696778636E-2</v>
      </c>
      <c r="L18" s="18">
        <v>0.17299999999999999</v>
      </c>
      <c r="M18" s="80">
        <f>1-(Table62[[#This Row],[NbP]]+Table62[[#This Row],[NbP2]])</f>
        <v>0.48503955061332105</v>
      </c>
    </row>
    <row r="19" spans="1:13" ht="20">
      <c r="A19" s="78" t="s">
        <v>80</v>
      </c>
      <c r="B19" s="78" t="s">
        <v>297</v>
      </c>
      <c r="C19" s="78">
        <v>14</v>
      </c>
      <c r="D19" s="78">
        <f>Table61[[#This Row],[2019]]/C136</f>
        <v>2.3007395234182415E-3</v>
      </c>
      <c r="F19" s="16" t="s">
        <v>179</v>
      </c>
      <c r="G19" s="17">
        <v>2451</v>
      </c>
      <c r="H19" s="80">
        <f>Table62[[#This Row],[TRUMP VOTES]]/C136</f>
        <v>0.4027937551355793</v>
      </c>
      <c r="I19" s="18">
        <v>0.84599999999999997</v>
      </c>
      <c r="J19" s="19">
        <v>418</v>
      </c>
      <c r="K19" s="80">
        <f>Table62[[#This Row],[BIDEN VOTES]]/C136</f>
        <v>6.8693508627773209E-2</v>
      </c>
      <c r="L19" s="18">
        <v>0.14399999999999999</v>
      </c>
      <c r="M19" s="80">
        <f>1-(Table62[[#This Row],[NbP]]+Table62[[#This Row],[NbP2]])</f>
        <v>0.52851273623664752</v>
      </c>
    </row>
    <row r="20" spans="1:13" ht="20">
      <c r="A20" s="78" t="s">
        <v>591</v>
      </c>
      <c r="B20" s="78" t="s">
        <v>297</v>
      </c>
      <c r="C20" s="78">
        <v>92</v>
      </c>
      <c r="D20" s="78">
        <f>Table61[[#This Row],[2019]]/C137</f>
        <v>8.7881016745154606E-4</v>
      </c>
      <c r="F20" s="16" t="s">
        <v>363</v>
      </c>
      <c r="G20" s="17">
        <v>37197</v>
      </c>
      <c r="H20" s="80">
        <f>Table62[[#This Row],[TRUMP VOTES]]/C137</f>
        <v>0.35531632389886042</v>
      </c>
      <c r="I20" s="18">
        <v>0.64800000000000002</v>
      </c>
      <c r="J20" s="17">
        <v>19052</v>
      </c>
      <c r="K20" s="80">
        <f>Table62[[#This Row],[BIDEN VOTES]]/C137</f>
        <v>0.18199012293790059</v>
      </c>
      <c r="L20" s="18">
        <v>0.33200000000000002</v>
      </c>
      <c r="M20" s="80">
        <f>1-(Table62[[#This Row],[NbP]]+Table62[[#This Row],[NbP2]])</f>
        <v>0.46269355316323901</v>
      </c>
    </row>
    <row r="21" spans="1:13" ht="20">
      <c r="A21" s="78" t="s">
        <v>1497</v>
      </c>
      <c r="B21" s="78" t="s">
        <v>297</v>
      </c>
      <c r="C21" s="78">
        <v>10</v>
      </c>
      <c r="D21" s="78">
        <f>Table61[[#This Row],[2019]]/C138</f>
        <v>7.0701357466063347E-4</v>
      </c>
      <c r="F21" s="16" t="s">
        <v>1539</v>
      </c>
      <c r="G21" s="17">
        <v>5788</v>
      </c>
      <c r="H21" s="80">
        <f>Table62[[#This Row],[TRUMP VOTES]]/C138</f>
        <v>0.40921945701357465</v>
      </c>
      <c r="I21" s="18">
        <v>0.82199999999999995</v>
      </c>
      <c r="J21" s="17">
        <v>1145</v>
      </c>
      <c r="K21" s="80">
        <f>Table62[[#This Row],[BIDEN VOTES]]/C138</f>
        <v>8.0953054298642538E-2</v>
      </c>
      <c r="L21" s="18">
        <v>0.16300000000000001</v>
      </c>
      <c r="M21" s="80">
        <f>1-(Table62[[#This Row],[NbP]]+Table62[[#This Row],[NbP2]])</f>
        <v>0.50982748868778283</v>
      </c>
    </row>
    <row r="22" spans="1:13" ht="20">
      <c r="A22" s="78" t="s">
        <v>2092</v>
      </c>
      <c r="B22" s="78" t="s">
        <v>297</v>
      </c>
      <c r="C22" s="78">
        <v>3</v>
      </c>
      <c r="D22" s="78">
        <f>Table61[[#This Row],[2019]]/C139</f>
        <v>4.0273862263391061E-4</v>
      </c>
      <c r="F22" s="16" t="s">
        <v>2136</v>
      </c>
      <c r="G22" s="17">
        <v>3111</v>
      </c>
      <c r="H22" s="80">
        <f>Table62[[#This Row],[TRUMP VOTES]]/C139</f>
        <v>0.41763995167136531</v>
      </c>
      <c r="I22" s="18">
        <v>0.76300000000000001</v>
      </c>
      <c r="J22" s="19">
        <v>916</v>
      </c>
      <c r="K22" s="80">
        <f>Table62[[#This Row],[BIDEN VOTES]]/C139</f>
        <v>0.12296952611088736</v>
      </c>
      <c r="L22" s="18">
        <v>0.22500000000000001</v>
      </c>
      <c r="M22" s="80">
        <f>1-(Table62[[#This Row],[NbP]]+Table62[[#This Row],[NbP2]])</f>
        <v>0.45939052221774734</v>
      </c>
    </row>
    <row r="23" spans="1:13" ht="20">
      <c r="A23" s="78" t="s">
        <v>1587</v>
      </c>
      <c r="B23" s="78" t="s">
        <v>297</v>
      </c>
      <c r="C23" s="78">
        <v>68</v>
      </c>
      <c r="D23" s="78">
        <f>Table61[[#This Row],[2019]]/C140</f>
        <v>7.7870917502633873E-4</v>
      </c>
      <c r="F23" s="16" t="s">
        <v>1403</v>
      </c>
      <c r="G23" s="17">
        <v>34920</v>
      </c>
      <c r="H23" s="80">
        <f>Table62[[#This Row],[TRUMP VOTES]]/C140</f>
        <v>0.39989006458705512</v>
      </c>
      <c r="I23" s="18">
        <v>0.746</v>
      </c>
      <c r="J23" s="17">
        <v>11131</v>
      </c>
      <c r="K23" s="80">
        <f>Table62[[#This Row],[BIDEN VOTES]]/C140</f>
        <v>0.12746782098850259</v>
      </c>
      <c r="L23" s="18">
        <v>0.23799999999999999</v>
      </c>
      <c r="M23" s="80">
        <f>1-(Table62[[#This Row],[NbP]]+Table62[[#This Row],[NbP2]])</f>
        <v>0.47264211442444226</v>
      </c>
    </row>
    <row r="24" spans="1:13" ht="20">
      <c r="A24" s="78" t="s">
        <v>1418</v>
      </c>
      <c r="B24" s="78" t="s">
        <v>297</v>
      </c>
      <c r="C24" s="78">
        <v>26</v>
      </c>
      <c r="D24" s="78">
        <f>Table61[[#This Row],[2019]]/C141</f>
        <v>3.8331121922453191E-3</v>
      </c>
      <c r="F24" s="16" t="s">
        <v>1404</v>
      </c>
      <c r="G24" s="17">
        <v>2672</v>
      </c>
      <c r="H24" s="80">
        <f>Table62[[#This Row],[TRUMP VOTES]]/C141</f>
        <v>0.39392599144921125</v>
      </c>
      <c r="I24" s="18">
        <v>0.78700000000000003</v>
      </c>
      <c r="J24" s="19">
        <v>678</v>
      </c>
      <c r="K24" s="80">
        <f>Table62[[#This Row],[BIDEN VOTES]]/C141</f>
        <v>9.9955771782397174E-2</v>
      </c>
      <c r="L24" s="18">
        <v>0.2</v>
      </c>
      <c r="M24" s="80">
        <f>1-(Table62[[#This Row],[NbP]]+Table62[[#This Row],[NbP2]])</f>
        <v>0.50611823676839163</v>
      </c>
    </row>
    <row r="25" spans="1:13" ht="20">
      <c r="A25" s="78" t="s">
        <v>84</v>
      </c>
      <c r="B25" s="78" t="s">
        <v>297</v>
      </c>
      <c r="C25" s="78">
        <v>56</v>
      </c>
      <c r="D25" s="78">
        <f>Table61[[#This Row],[2019]]/C142</f>
        <v>2.2719896137617657E-4</v>
      </c>
      <c r="F25" s="16" t="s">
        <v>183</v>
      </c>
      <c r="G25" s="17">
        <v>64605</v>
      </c>
      <c r="H25" s="80">
        <f>Table62[[#This Row],[TRUMP VOTES]]/C142</f>
        <v>0.26211051606621227</v>
      </c>
      <c r="I25" s="18">
        <v>0.51100000000000001</v>
      </c>
      <c r="J25" s="17">
        <v>59400</v>
      </c>
      <c r="K25" s="80">
        <f>Table62[[#This Row],[BIDEN VOTES]]/C142</f>
        <v>0.24099318403115871</v>
      </c>
      <c r="L25" s="18">
        <v>0.46899999999999997</v>
      </c>
      <c r="M25" s="80">
        <f>1-(Table62[[#This Row],[NbP]]+Table62[[#This Row],[NbP2]])</f>
        <v>0.49689629990262896</v>
      </c>
    </row>
    <row r="26" spans="1:13" ht="20">
      <c r="A26" s="78" t="s">
        <v>1398</v>
      </c>
      <c r="B26" s="78" t="s">
        <v>297</v>
      </c>
      <c r="C26" s="78">
        <v>21</v>
      </c>
      <c r="D26" s="78">
        <f>Table61[[#This Row],[2019]]/C143</f>
        <v>1.0242403550699897E-3</v>
      </c>
      <c r="F26" s="16" t="s">
        <v>1405</v>
      </c>
      <c r="G26" s="17">
        <v>7799</v>
      </c>
      <c r="H26" s="80">
        <f>Table62[[#This Row],[TRUMP VOTES]]/C143</f>
        <v>0.38038335853289762</v>
      </c>
      <c r="I26" s="18">
        <v>0.71599999999999997</v>
      </c>
      <c r="J26" s="17">
        <v>2896</v>
      </c>
      <c r="K26" s="80">
        <f>Table62[[#This Row],[BIDEN VOTES]]/C143</f>
        <v>0.14124762229917573</v>
      </c>
      <c r="L26" s="18">
        <v>0.26600000000000001</v>
      </c>
      <c r="M26" s="80">
        <f>1-(Table62[[#This Row],[NbP]]+Table62[[#This Row],[NbP2]])</f>
        <v>0.47836901916792662</v>
      </c>
    </row>
    <row r="27" spans="1:13" ht="20">
      <c r="A27" s="78" t="s">
        <v>2093</v>
      </c>
      <c r="B27" s="78" t="s">
        <v>297</v>
      </c>
      <c r="C27" s="78">
        <v>90</v>
      </c>
      <c r="D27" s="78">
        <f>Table61[[#This Row],[2019]]/C144</f>
        <v>1.174474748792901E-3</v>
      </c>
      <c r="F27" s="16" t="s">
        <v>2137</v>
      </c>
      <c r="G27" s="17">
        <v>26086</v>
      </c>
      <c r="H27" s="80">
        <f>Table62[[#This Row],[TRUMP VOTES]]/C144</f>
        <v>0.3404149810779068</v>
      </c>
      <c r="I27" s="18">
        <v>0.66</v>
      </c>
      <c r="J27" s="17">
        <v>12694</v>
      </c>
      <c r="K27" s="80">
        <f>Table62[[#This Row],[BIDEN VOTES]]/C144</f>
        <v>0.16565313845752316</v>
      </c>
      <c r="L27" s="18">
        <v>0.32100000000000001</v>
      </c>
      <c r="M27" s="80">
        <f>1-(Table62[[#This Row],[NbP]]+Table62[[#This Row],[NbP2]])</f>
        <v>0.49393188046457004</v>
      </c>
    </row>
    <row r="28" spans="1:13" ht="20">
      <c r="A28" s="78" t="s">
        <v>2094</v>
      </c>
      <c r="B28" s="78" t="s">
        <v>297</v>
      </c>
      <c r="C28" s="78">
        <v>5</v>
      </c>
      <c r="D28" s="78">
        <f>Table61[[#This Row],[2019]]/C145</f>
        <v>2.8535555301906175E-4</v>
      </c>
      <c r="F28" s="16" t="s">
        <v>2138</v>
      </c>
      <c r="G28" s="17">
        <v>6272</v>
      </c>
      <c r="H28" s="80">
        <f>Table62[[#This Row],[TRUMP VOTES]]/C145</f>
        <v>0.35795000570711105</v>
      </c>
      <c r="I28" s="18">
        <v>0.72199999999999998</v>
      </c>
      <c r="J28" s="17">
        <v>2249</v>
      </c>
      <c r="K28" s="80">
        <f>Table62[[#This Row],[BIDEN VOTES]]/C145</f>
        <v>0.12835292774797397</v>
      </c>
      <c r="L28" s="18">
        <v>0.25900000000000001</v>
      </c>
      <c r="M28" s="80">
        <f>1-(Table62[[#This Row],[NbP]]+Table62[[#This Row],[NbP2]])</f>
        <v>0.51369706654491498</v>
      </c>
    </row>
    <row r="29" spans="1:13" ht="20">
      <c r="A29" s="78" t="s">
        <v>1237</v>
      </c>
      <c r="B29" s="78" t="s">
        <v>297</v>
      </c>
      <c r="C29" s="78">
        <v>82</v>
      </c>
      <c r="D29" s="78">
        <f>Table61[[#This Row],[2019]]/C146</f>
        <v>3.4189459639759842E-3</v>
      </c>
      <c r="F29" s="16" t="s">
        <v>1331</v>
      </c>
      <c r="G29" s="17">
        <v>8725</v>
      </c>
      <c r="H29" s="80">
        <f>Table62[[#This Row],[TRUMP VOTES]]/C146</f>
        <v>0.36378418945963975</v>
      </c>
      <c r="I29" s="18">
        <v>0.79500000000000004</v>
      </c>
      <c r="J29" s="17">
        <v>2113</v>
      </c>
      <c r="K29" s="80">
        <f>Table62[[#This Row],[BIDEN VOTES]]/C146</f>
        <v>8.810040026684457E-2</v>
      </c>
      <c r="L29" s="18">
        <v>0.193</v>
      </c>
      <c r="M29" s="80">
        <f>1-(Table62[[#This Row],[NbP]]+Table62[[#This Row],[NbP2]])</f>
        <v>0.54811541027351574</v>
      </c>
    </row>
    <row r="30" spans="1:13" ht="20">
      <c r="A30" s="78" t="s">
        <v>1239</v>
      </c>
      <c r="B30" s="78" t="s">
        <v>297</v>
      </c>
      <c r="C30" s="78">
        <v>3</v>
      </c>
      <c r="D30" s="78">
        <f>Table61[[#This Row],[2019]]/C147</f>
        <v>3.9624884427420418E-4</v>
      </c>
      <c r="F30" s="16" t="s">
        <v>1333</v>
      </c>
      <c r="G30" s="17">
        <v>3414</v>
      </c>
      <c r="H30" s="80">
        <f>Table62[[#This Row],[TRUMP VOTES]]/C147</f>
        <v>0.45093118478404437</v>
      </c>
      <c r="I30" s="18">
        <v>0.82899999999999996</v>
      </c>
      <c r="J30" s="19">
        <v>656</v>
      </c>
      <c r="K30" s="80">
        <f>Table62[[#This Row],[BIDEN VOTES]]/C147</f>
        <v>8.6646413947959314E-2</v>
      </c>
      <c r="L30" s="18">
        <v>0.159</v>
      </c>
      <c r="M30" s="80">
        <f>1-(Table62[[#This Row],[NbP]]+Table62[[#This Row],[NbP2]])</f>
        <v>0.46242240126799627</v>
      </c>
    </row>
    <row r="31" spans="1:13" ht="20">
      <c r="A31" s="78" t="s">
        <v>611</v>
      </c>
      <c r="B31" s="78" t="s">
        <v>297</v>
      </c>
      <c r="C31" s="78">
        <v>19</v>
      </c>
      <c r="D31" s="78">
        <f>Table61[[#This Row],[2019]]/C148</f>
        <v>1.1281990380618727E-3</v>
      </c>
      <c r="F31" s="16" t="s">
        <v>384</v>
      </c>
      <c r="G31" s="17">
        <v>6619</v>
      </c>
      <c r="H31" s="80">
        <f>Table62[[#This Row],[TRUMP VOTES]]/C148</f>
        <v>0.39302891752271241</v>
      </c>
      <c r="I31" s="18">
        <v>0.81699999999999995</v>
      </c>
      <c r="J31" s="17">
        <v>1380</v>
      </c>
      <c r="K31" s="80">
        <f>Table62[[#This Row],[BIDEN VOTES]]/C148</f>
        <v>8.1942877501336026E-2</v>
      </c>
      <c r="L31" s="18">
        <v>0.17</v>
      </c>
      <c r="M31" s="80">
        <f>1-(Table62[[#This Row],[NbP]]+Table62[[#This Row],[NbP2]])</f>
        <v>0.5250282049759516</v>
      </c>
    </row>
    <row r="32" spans="1:13" ht="20">
      <c r="A32" s="78" t="s">
        <v>1419</v>
      </c>
      <c r="B32" s="78" t="s">
        <v>297</v>
      </c>
      <c r="C32" s="78">
        <v>9</v>
      </c>
      <c r="D32" s="78">
        <f>Table61[[#This Row],[2019]]/C149</f>
        <v>1.0851217747769471E-3</v>
      </c>
      <c r="F32" s="16" t="s">
        <v>1455</v>
      </c>
      <c r="G32" s="17">
        <v>3102</v>
      </c>
      <c r="H32" s="80">
        <f>Table62[[#This Row],[TRUMP VOTES]]/C149</f>
        <v>0.37400530503978779</v>
      </c>
      <c r="I32" s="18">
        <v>0.79400000000000004</v>
      </c>
      <c r="J32" s="19">
        <v>746</v>
      </c>
      <c r="K32" s="80">
        <f>Table62[[#This Row],[BIDEN VOTES]]/C149</f>
        <v>8.9944538220400286E-2</v>
      </c>
      <c r="L32" s="18">
        <v>0.191</v>
      </c>
      <c r="M32" s="80">
        <f>1-(Table62[[#This Row],[NbP]]+Table62[[#This Row],[NbP2]])</f>
        <v>0.53605015673981193</v>
      </c>
    </row>
    <row r="33" spans="1:13" ht="20">
      <c r="A33" s="78" t="s">
        <v>91</v>
      </c>
      <c r="B33" s="78" t="s">
        <v>297</v>
      </c>
      <c r="C33" s="78">
        <v>30</v>
      </c>
      <c r="D33" s="78">
        <f>Table61[[#This Row],[2019]]/C150</f>
        <v>2.5269541778975739E-3</v>
      </c>
      <c r="F33" s="16" t="s">
        <v>190</v>
      </c>
      <c r="G33" s="17">
        <v>3828</v>
      </c>
      <c r="H33" s="80">
        <f>Table62[[#This Row],[TRUMP VOTES]]/C150</f>
        <v>0.32243935309973049</v>
      </c>
      <c r="I33" s="18">
        <v>0.79</v>
      </c>
      <c r="J33" s="19">
        <v>930</v>
      </c>
      <c r="K33" s="80">
        <f>Table62[[#This Row],[BIDEN VOTES]]/C150</f>
        <v>7.8335579514824796E-2</v>
      </c>
      <c r="L33" s="18">
        <v>0.192</v>
      </c>
      <c r="M33" s="80">
        <f>1-(Table62[[#This Row],[NbP]]+Table62[[#This Row],[NbP2]])</f>
        <v>0.59922506738544468</v>
      </c>
    </row>
    <row r="34" spans="1:13" ht="20">
      <c r="A34" s="78" t="s">
        <v>2095</v>
      </c>
      <c r="B34" s="78" t="s">
        <v>297</v>
      </c>
      <c r="C34" s="78">
        <v>23</v>
      </c>
      <c r="D34" s="78">
        <f>Table61[[#This Row],[2019]]/C151</f>
        <v>1.4821497615672122E-3</v>
      </c>
      <c r="F34" s="16" t="s">
        <v>2139</v>
      </c>
      <c r="G34" s="17">
        <v>5987</v>
      </c>
      <c r="H34" s="80">
        <f>Table62[[#This Row],[TRUMP VOTES]]/C151</f>
        <v>0.38581002706534345</v>
      </c>
      <c r="I34" s="18">
        <v>0.83799999999999997</v>
      </c>
      <c r="J34" s="17">
        <v>1056</v>
      </c>
      <c r="K34" s="80">
        <f>Table62[[#This Row],[BIDEN VOTES]]/C151</f>
        <v>6.8050006444129396E-2</v>
      </c>
      <c r="L34" s="18">
        <v>0.14799999999999999</v>
      </c>
      <c r="M34" s="80">
        <f>1-(Table62[[#This Row],[NbP]]+Table62[[#This Row],[NbP2]])</f>
        <v>0.5461399664905271</v>
      </c>
    </row>
    <row r="35" spans="1:13" ht="20">
      <c r="A35" s="78" t="s">
        <v>315</v>
      </c>
      <c r="B35" s="78" t="s">
        <v>297</v>
      </c>
      <c r="C35" s="78">
        <v>23</v>
      </c>
      <c r="D35" s="78">
        <f>Table61[[#This Row],[2019]]/C152</f>
        <v>1.7247844019497563E-3</v>
      </c>
      <c r="F35" s="16" t="s">
        <v>276</v>
      </c>
      <c r="G35" s="17">
        <v>5898</v>
      </c>
      <c r="H35" s="80">
        <f>Table62[[#This Row],[TRUMP VOTES]]/C152</f>
        <v>0.44229471316085489</v>
      </c>
      <c r="I35" s="18">
        <v>0.84299999999999997</v>
      </c>
      <c r="J35" s="17">
        <v>1016</v>
      </c>
      <c r="K35" s="80">
        <f>Table62[[#This Row],[BIDEN VOTES]]/C152</f>
        <v>7.6190476190476197E-2</v>
      </c>
      <c r="L35" s="18">
        <v>0.14499999999999999</v>
      </c>
      <c r="M35" s="80">
        <f>1-(Table62[[#This Row],[NbP]]+Table62[[#This Row],[NbP2]])</f>
        <v>0.48151481064866886</v>
      </c>
    </row>
    <row r="36" spans="1:13" ht="20">
      <c r="A36" s="78" t="s">
        <v>2096</v>
      </c>
      <c r="B36" s="78" t="s">
        <v>297</v>
      </c>
      <c r="C36" s="78">
        <v>95</v>
      </c>
      <c r="D36" s="78">
        <f>Table61[[#This Row],[2019]]/C153</f>
        <v>3.2032909599757223E-3</v>
      </c>
      <c r="F36" s="16" t="s">
        <v>2140</v>
      </c>
      <c r="G36" s="17">
        <v>8135</v>
      </c>
      <c r="H36" s="80">
        <f>Table62[[#This Row],[TRUMP VOTES]]/C153</f>
        <v>0.27430286273055265</v>
      </c>
      <c r="I36" s="18">
        <v>0.78100000000000003</v>
      </c>
      <c r="J36" s="17">
        <v>2200</v>
      </c>
      <c r="K36" s="80">
        <f>Table62[[#This Row],[BIDEN VOTES]]/C153</f>
        <v>7.4181474862595673E-2</v>
      </c>
      <c r="L36" s="18">
        <v>0.21099999999999999</v>
      </c>
      <c r="M36" s="80">
        <f>1-(Table62[[#This Row],[NbP]]+Table62[[#This Row],[NbP2]])</f>
        <v>0.65151566240685166</v>
      </c>
    </row>
    <row r="37" spans="1:13" ht="20">
      <c r="A37" s="78" t="s">
        <v>96</v>
      </c>
      <c r="B37" s="78" t="s">
        <v>297</v>
      </c>
      <c r="C37" s="78">
        <v>125</v>
      </c>
      <c r="D37" s="78">
        <f>Table61[[#This Row],[2019]]/C154</f>
        <v>1.2062260564127802E-3</v>
      </c>
      <c r="F37" s="16" t="s">
        <v>195</v>
      </c>
      <c r="G37" s="17">
        <v>38058</v>
      </c>
      <c r="H37" s="80">
        <f>Table62[[#This Row],[TRUMP VOTES]]/C154</f>
        <v>0.36725241003966069</v>
      </c>
      <c r="I37" s="18">
        <v>0.70899999999999996</v>
      </c>
      <c r="J37" s="17">
        <v>14569</v>
      </c>
      <c r="K37" s="80">
        <f>Table62[[#This Row],[BIDEN VOTES]]/C154</f>
        <v>0.14058805932702237</v>
      </c>
      <c r="L37" s="18">
        <v>0.27100000000000002</v>
      </c>
      <c r="M37" s="80">
        <f>1-(Table62[[#This Row],[NbP]]+Table62[[#This Row],[NbP2]])</f>
        <v>0.49215953063331697</v>
      </c>
    </row>
    <row r="38" spans="1:13" ht="20">
      <c r="A38" s="78" t="s">
        <v>2097</v>
      </c>
      <c r="B38" s="78" t="s">
        <v>297</v>
      </c>
      <c r="C38" s="78">
        <v>17</v>
      </c>
      <c r="D38" s="78">
        <f>Table61[[#This Row],[2019]]/C155</f>
        <v>1.1585906086008315E-3</v>
      </c>
      <c r="F38" s="16" t="s">
        <v>2141</v>
      </c>
      <c r="G38" s="17">
        <v>6222</v>
      </c>
      <c r="H38" s="80">
        <f>Table62[[#This Row],[TRUMP VOTES]]/C155</f>
        <v>0.4240441627479043</v>
      </c>
      <c r="I38" s="18">
        <v>0.78500000000000003</v>
      </c>
      <c r="J38" s="17">
        <v>1601</v>
      </c>
      <c r="K38" s="80">
        <f>Table62[[#This Row],[BIDEN VOTES]]/C155</f>
        <v>0.10911197437470184</v>
      </c>
      <c r="L38" s="18">
        <v>0.20200000000000001</v>
      </c>
      <c r="M38" s="80">
        <f>1-(Table62[[#This Row],[NbP]]+Table62[[#This Row],[NbP2]])</f>
        <v>0.46684386287739388</v>
      </c>
    </row>
    <row r="39" spans="1:13" ht="20">
      <c r="A39" s="78" t="s">
        <v>2098</v>
      </c>
      <c r="B39" s="78" t="s">
        <v>297</v>
      </c>
      <c r="C39" s="78">
        <v>12</v>
      </c>
      <c r="D39" s="78">
        <f>Table61[[#This Row],[2019]]/C156</f>
        <v>1.8248175182481751E-3</v>
      </c>
      <c r="F39" s="16" t="s">
        <v>2142</v>
      </c>
      <c r="G39" s="17">
        <v>2581</v>
      </c>
      <c r="H39" s="80">
        <f>Table62[[#This Row],[TRUMP VOTES]]/C156</f>
        <v>0.39248783454987834</v>
      </c>
      <c r="I39" s="18">
        <v>0.79800000000000004</v>
      </c>
      <c r="J39" s="19">
        <v>613</v>
      </c>
      <c r="K39" s="80">
        <f>Table62[[#This Row],[BIDEN VOTES]]/C156</f>
        <v>9.321776155717762E-2</v>
      </c>
      <c r="L39" s="18">
        <v>0.189</v>
      </c>
      <c r="M39" s="80">
        <f>1-(Table62[[#This Row],[NbP]]+Table62[[#This Row],[NbP2]])</f>
        <v>0.51429440389294401</v>
      </c>
    </row>
    <row r="40" spans="1:13" ht="20">
      <c r="A40" s="78" t="s">
        <v>100</v>
      </c>
      <c r="B40" s="78" t="s">
        <v>297</v>
      </c>
      <c r="C40" s="78">
        <v>345</v>
      </c>
      <c r="D40" s="78">
        <f>Table61[[#This Row],[2019]]/C157</f>
        <v>1.1832330729077353E-3</v>
      </c>
      <c r="F40" s="16" t="s">
        <v>199</v>
      </c>
      <c r="G40" s="17">
        <v>83630</v>
      </c>
      <c r="H40" s="80">
        <f>Table62[[#This Row],[TRUMP VOTES]]/C157</f>
        <v>0.2868225561949968</v>
      </c>
      <c r="I40" s="18">
        <v>0.59</v>
      </c>
      <c r="J40" s="17">
        <v>55068</v>
      </c>
      <c r="K40" s="80">
        <f>Table62[[#This Row],[BIDEN VOTES]]/C157</f>
        <v>0.18886457640255991</v>
      </c>
      <c r="L40" s="18">
        <v>0.38800000000000001</v>
      </c>
      <c r="M40" s="80">
        <f>1-(Table62[[#This Row],[NbP]]+Table62[[#This Row],[NbP2]])</f>
        <v>0.52431286740244332</v>
      </c>
    </row>
    <row r="41" spans="1:13" ht="20">
      <c r="A41" s="78" t="s">
        <v>101</v>
      </c>
      <c r="B41" s="78" t="s">
        <v>297</v>
      </c>
      <c r="C41" s="78">
        <v>11</v>
      </c>
      <c r="D41" s="78">
        <f>Table61[[#This Row],[2019]]/C158</f>
        <v>1.1127971674253919E-3</v>
      </c>
      <c r="F41" s="16" t="s">
        <v>200</v>
      </c>
      <c r="G41" s="17">
        <v>3585</v>
      </c>
      <c r="H41" s="80">
        <f>Table62[[#This Row],[TRUMP VOTES]]/C158</f>
        <v>0.36267071320182093</v>
      </c>
      <c r="I41" s="18">
        <v>0.80800000000000005</v>
      </c>
      <c r="J41" s="19">
        <v>799</v>
      </c>
      <c r="K41" s="80">
        <f>Table62[[#This Row],[BIDEN VOTES]]/C158</f>
        <v>8.0829539706626208E-2</v>
      </c>
      <c r="L41" s="18">
        <v>0.18</v>
      </c>
      <c r="M41" s="80">
        <f>1-(Table62[[#This Row],[NbP]]+Table62[[#This Row],[NbP2]])</f>
        <v>0.55649974709155292</v>
      </c>
    </row>
    <row r="42" spans="1:13" ht="20">
      <c r="A42" s="78" t="s">
        <v>651</v>
      </c>
      <c r="B42" s="78" t="s">
        <v>297</v>
      </c>
      <c r="C42" s="78">
        <v>9</v>
      </c>
      <c r="D42" s="78">
        <f>Table61[[#This Row],[2019]]/C159</f>
        <v>1.067995728017088E-3</v>
      </c>
      <c r="F42" s="16" t="s">
        <v>424</v>
      </c>
      <c r="G42" s="17">
        <v>3198</v>
      </c>
      <c r="H42" s="80">
        <f>Table62[[#This Row],[TRUMP VOTES]]/C159</f>
        <v>0.37949448202207192</v>
      </c>
      <c r="I42" s="18">
        <v>0.83599999999999997</v>
      </c>
      <c r="J42" s="19">
        <v>597</v>
      </c>
      <c r="K42" s="80">
        <f>Table62[[#This Row],[BIDEN VOTES]]/C159</f>
        <v>7.0843716625133502E-2</v>
      </c>
      <c r="L42" s="18">
        <v>0.156</v>
      </c>
      <c r="M42" s="80">
        <f>1-(Table62[[#This Row],[NbP]]+Table62[[#This Row],[NbP2]])</f>
        <v>0.54966180135279452</v>
      </c>
    </row>
    <row r="43" spans="1:13" ht="20">
      <c r="A43" s="78" t="s">
        <v>110</v>
      </c>
      <c r="B43" s="78" t="s">
        <v>297</v>
      </c>
      <c r="C43" s="78">
        <v>36</v>
      </c>
      <c r="D43" s="78">
        <f>Table61[[#This Row],[2019]]/C160</f>
        <v>1.6472956895762789E-3</v>
      </c>
      <c r="F43" s="16" t="s">
        <v>209</v>
      </c>
      <c r="G43" s="17">
        <v>8027</v>
      </c>
      <c r="H43" s="80">
        <f>Table62[[#This Row],[TRUMP VOTES]]/C160</f>
        <v>0.36730118056191086</v>
      </c>
      <c r="I43" s="18">
        <v>0.74399999999999999</v>
      </c>
      <c r="J43" s="17">
        <v>2619</v>
      </c>
      <c r="K43" s="80">
        <f>Table62[[#This Row],[BIDEN VOTES]]/C160</f>
        <v>0.1198407614166743</v>
      </c>
      <c r="L43" s="18">
        <v>0.24299999999999999</v>
      </c>
      <c r="M43" s="80">
        <f>1-(Table62[[#This Row],[NbP]]+Table62[[#This Row],[NbP2]])</f>
        <v>0.51285805802141482</v>
      </c>
    </row>
    <row r="44" spans="1:13" ht="20">
      <c r="A44" s="78" t="s">
        <v>2099</v>
      </c>
      <c r="B44" s="78" t="s">
        <v>297</v>
      </c>
      <c r="C44" s="78">
        <v>6</v>
      </c>
      <c r="D44" s="78">
        <f>Table61[[#This Row],[2019]]/C161</f>
        <v>6.3478628861616594E-4</v>
      </c>
      <c r="F44" s="16" t="s">
        <v>2143</v>
      </c>
      <c r="G44" s="17">
        <v>3966</v>
      </c>
      <c r="H44" s="80">
        <f>Table62[[#This Row],[TRUMP VOTES]]/C161</f>
        <v>0.41959373677528566</v>
      </c>
      <c r="I44" s="18">
        <v>0.78100000000000003</v>
      </c>
      <c r="J44" s="17">
        <v>1056</v>
      </c>
      <c r="K44" s="80">
        <f>Table62[[#This Row],[BIDEN VOTES]]/C161</f>
        <v>0.11172238679644519</v>
      </c>
      <c r="L44" s="18">
        <v>0.20799999999999999</v>
      </c>
      <c r="M44" s="80">
        <f>1-(Table62[[#This Row],[NbP]]+Table62[[#This Row],[NbP2]])</f>
        <v>0.46868387642826914</v>
      </c>
    </row>
    <row r="45" spans="1:13" ht="20">
      <c r="A45" s="78" t="s">
        <v>2100</v>
      </c>
      <c r="B45" s="78" t="s">
        <v>297</v>
      </c>
      <c r="C45" s="78">
        <v>12</v>
      </c>
      <c r="D45" s="78">
        <f>Table61[[#This Row],[2019]]/C162</f>
        <v>2.7434842249657062E-3</v>
      </c>
      <c r="F45" s="16" t="s">
        <v>2144</v>
      </c>
      <c r="G45" s="17">
        <v>1976</v>
      </c>
      <c r="H45" s="80">
        <f>Table62[[#This Row],[TRUMP VOTES]]/C162</f>
        <v>0.45176040237768633</v>
      </c>
      <c r="I45" s="18">
        <v>0.84299999999999997</v>
      </c>
      <c r="J45" s="19">
        <v>338</v>
      </c>
      <c r="K45" s="80">
        <f>Table62[[#This Row],[BIDEN VOTES]]/C162</f>
        <v>7.72748056698674E-2</v>
      </c>
      <c r="L45" s="18">
        <v>0.14399999999999999</v>
      </c>
      <c r="M45" s="80">
        <f>1-(Table62[[#This Row],[NbP]]+Table62[[#This Row],[NbP2]])</f>
        <v>0.47096479195244623</v>
      </c>
    </row>
    <row r="46" spans="1:13" ht="20">
      <c r="A46" s="78" t="s">
        <v>661</v>
      </c>
      <c r="B46" s="78" t="s">
        <v>297</v>
      </c>
      <c r="C46" s="78">
        <v>31</v>
      </c>
      <c r="D46" s="78">
        <f>Table61[[#This Row],[2019]]/C163</f>
        <v>3.0931949710636601E-3</v>
      </c>
      <c r="F46" s="16" t="s">
        <v>434</v>
      </c>
      <c r="G46" s="17">
        <v>3553</v>
      </c>
      <c r="H46" s="80">
        <f>Table62[[#This Row],[TRUMP VOTES]]/C163</f>
        <v>0.35452005587707047</v>
      </c>
      <c r="I46" s="18">
        <v>0.69799999999999995</v>
      </c>
      <c r="J46" s="17">
        <v>1413</v>
      </c>
      <c r="K46" s="80">
        <f>Table62[[#This Row],[BIDEN VOTES]]/C163</f>
        <v>0.14098982239074037</v>
      </c>
      <c r="L46" s="18">
        <v>0.27800000000000002</v>
      </c>
      <c r="M46" s="80">
        <f>1-(Table62[[#This Row],[NbP]]+Table62[[#This Row],[NbP2]])</f>
        <v>0.5044901217321891</v>
      </c>
    </row>
    <row r="47" spans="1:13" ht="20">
      <c r="A47" s="78" t="s">
        <v>2101</v>
      </c>
      <c r="B47" s="78" t="s">
        <v>297</v>
      </c>
      <c r="C47" s="78">
        <v>80</v>
      </c>
      <c r="D47" s="78">
        <f>Table61[[#This Row],[2019]]/C164</f>
        <v>1.99352105656616E-3</v>
      </c>
      <c r="F47" s="16" t="s">
        <v>2145</v>
      </c>
      <c r="G47" s="17">
        <v>15181</v>
      </c>
      <c r="H47" s="80">
        <f>Table62[[#This Row],[TRUMP VOTES]]/C164</f>
        <v>0.37829553949663591</v>
      </c>
      <c r="I47" s="18">
        <v>0.81399999999999995</v>
      </c>
      <c r="J47" s="17">
        <v>3218</v>
      </c>
      <c r="K47" s="80">
        <f>Table62[[#This Row],[BIDEN VOTES]]/C164</f>
        <v>8.0189384500373787E-2</v>
      </c>
      <c r="L47" s="18">
        <v>0.17299999999999999</v>
      </c>
      <c r="M47" s="80">
        <f>1-(Table62[[#This Row],[NbP]]+Table62[[#This Row],[NbP2]])</f>
        <v>0.54151507600299031</v>
      </c>
    </row>
    <row r="48" spans="1:13" ht="20">
      <c r="A48" s="78" t="s">
        <v>1776</v>
      </c>
      <c r="B48" s="78" t="s">
        <v>297</v>
      </c>
      <c r="C48" s="78">
        <v>30</v>
      </c>
      <c r="D48" s="78">
        <f>Table61[[#This Row],[2019]]/C165</f>
        <v>2.9556650246305421E-3</v>
      </c>
      <c r="F48" s="16" t="s">
        <v>1841</v>
      </c>
      <c r="G48" s="17">
        <v>3596</v>
      </c>
      <c r="H48" s="80">
        <f>Table62[[#This Row],[TRUMP VOTES]]/C165</f>
        <v>0.35428571428571426</v>
      </c>
      <c r="I48" s="18">
        <v>0.78300000000000003</v>
      </c>
      <c r="J48" s="19">
        <v>945</v>
      </c>
      <c r="K48" s="80">
        <f>Table62[[#This Row],[BIDEN VOTES]]/C165</f>
        <v>9.3103448275862075E-2</v>
      </c>
      <c r="L48" s="18">
        <v>0.20599999999999999</v>
      </c>
      <c r="M48" s="80">
        <f>1-(Table62[[#This Row],[NbP]]+Table62[[#This Row],[NbP2]])</f>
        <v>0.55261083743842365</v>
      </c>
    </row>
    <row r="49" spans="1:13" ht="20">
      <c r="A49" s="78" t="s">
        <v>114</v>
      </c>
      <c r="B49" s="78" t="s">
        <v>297</v>
      </c>
      <c r="C49" s="78">
        <v>875</v>
      </c>
      <c r="D49" s="78">
        <f>Table61[[#This Row],[2019]]/C166</f>
        <v>1.248692440630026E-3</v>
      </c>
      <c r="F49" s="16" t="s">
        <v>213</v>
      </c>
      <c r="G49" s="17">
        <v>126535</v>
      </c>
      <c r="H49" s="80">
        <f>Table62[[#This Row],[TRUMP VOTES]]/C166</f>
        <v>0.18057519768585181</v>
      </c>
      <c r="I49" s="18">
        <v>0.38</v>
      </c>
      <c r="J49" s="17">
        <v>199842</v>
      </c>
      <c r="K49" s="80">
        <f>Table62[[#This Row],[BIDEN VOTES]]/C166</f>
        <v>0.28518993682329791</v>
      </c>
      <c r="L49" s="18">
        <v>0.6</v>
      </c>
      <c r="M49" s="80">
        <f>1-(Table62[[#This Row],[NbP]]+Table62[[#This Row],[NbP2]])</f>
        <v>0.53423486549085031</v>
      </c>
    </row>
    <row r="50" spans="1:13" ht="20">
      <c r="A50" s="78" t="s">
        <v>667</v>
      </c>
      <c r="B50" s="78" t="s">
        <v>297</v>
      </c>
      <c r="C50" s="78">
        <v>300</v>
      </c>
      <c r="D50" s="78">
        <f>Table61[[#This Row],[2019]]/C167</f>
        <v>2.4890481879729191E-3</v>
      </c>
      <c r="F50" s="16" t="s">
        <v>440</v>
      </c>
      <c r="G50" s="17">
        <v>37728</v>
      </c>
      <c r="H50" s="80">
        <f>Table62[[#This Row],[TRUMP VOTES]]/C167</f>
        <v>0.31302270011947431</v>
      </c>
      <c r="I50" s="18">
        <v>0.72099999999999997</v>
      </c>
      <c r="J50" s="17">
        <v>13549</v>
      </c>
      <c r="K50" s="80">
        <f>Table62[[#This Row],[BIDEN VOTES]]/C167</f>
        <v>0.11241371299615027</v>
      </c>
      <c r="L50" s="18">
        <v>0.25900000000000001</v>
      </c>
      <c r="M50" s="80">
        <f>1-(Table62[[#This Row],[NbP]]+Table62[[#This Row],[NbP2]])</f>
        <v>0.57456358688437548</v>
      </c>
    </row>
    <row r="51" spans="1:13" ht="20">
      <c r="A51" s="78" t="s">
        <v>115</v>
      </c>
      <c r="B51" s="78" t="s">
        <v>297</v>
      </c>
      <c r="C51" s="78">
        <v>285</v>
      </c>
      <c r="D51" s="78">
        <f>Table61[[#This Row],[2019]]/C168</f>
        <v>1.2679233195567162E-3</v>
      </c>
      <c r="F51" s="16" t="s">
        <v>214</v>
      </c>
      <c r="G51" s="17">
        <v>77046</v>
      </c>
      <c r="H51" s="80">
        <f>Table62[[#This Row],[TRUMP VOTES]]/C168</f>
        <v>0.34276638624058509</v>
      </c>
      <c r="I51" s="18">
        <v>0.66</v>
      </c>
      <c r="J51" s="17">
        <v>37523</v>
      </c>
      <c r="K51" s="80">
        <f>Table62[[#This Row],[BIDEN VOTES]]/C168</f>
        <v>0.16693433936746196</v>
      </c>
      <c r="L51" s="18">
        <v>0.32200000000000001</v>
      </c>
      <c r="M51" s="80">
        <f>1-(Table62[[#This Row],[NbP]]+Table62[[#This Row],[NbP2]])</f>
        <v>0.49029927439195298</v>
      </c>
    </row>
    <row r="52" spans="1:13" ht="20">
      <c r="A52" s="78" t="s">
        <v>116</v>
      </c>
      <c r="B52" s="78" t="s">
        <v>297</v>
      </c>
      <c r="C52" s="78">
        <v>62</v>
      </c>
      <c r="D52" s="78">
        <f>Table61[[#This Row],[2019]]/C169</f>
        <v>1.1492548379921407E-3</v>
      </c>
      <c r="F52" s="16" t="s">
        <v>215</v>
      </c>
      <c r="G52" s="17">
        <v>15489</v>
      </c>
      <c r="H52" s="80">
        <f>Table62[[#This Row],[TRUMP VOTES]]/C169</f>
        <v>0.28710980944613329</v>
      </c>
      <c r="I52" s="18">
        <v>0.67</v>
      </c>
      <c r="J52" s="17">
        <v>6974</v>
      </c>
      <c r="K52" s="80">
        <f>Table62[[#This Row],[BIDEN VOTES]]/C169</f>
        <v>0.1292726329057611</v>
      </c>
      <c r="L52" s="18">
        <v>0.30199999999999999</v>
      </c>
      <c r="M52" s="80">
        <f>1-(Table62[[#This Row],[NbP]]+Table62[[#This Row],[NbP2]])</f>
        <v>0.58361755764810563</v>
      </c>
    </row>
    <row r="53" spans="1:13" ht="20">
      <c r="A53" s="78" t="s">
        <v>117</v>
      </c>
      <c r="B53" s="78" t="s">
        <v>297</v>
      </c>
      <c r="C53" s="78">
        <v>8</v>
      </c>
      <c r="D53" s="78">
        <f>Table61[[#This Row],[2019]]/C170</f>
        <v>2.0263424518743669E-3</v>
      </c>
      <c r="F53" s="16" t="s">
        <v>216</v>
      </c>
      <c r="G53" s="17">
        <v>1486</v>
      </c>
      <c r="H53" s="80">
        <f>Table62[[#This Row],[TRUMP VOTES]]/C170</f>
        <v>0.37639311043566365</v>
      </c>
      <c r="I53" s="18">
        <v>0.80200000000000005</v>
      </c>
      <c r="J53" s="19">
        <v>340</v>
      </c>
      <c r="K53" s="80">
        <f>Table62[[#This Row],[BIDEN VOTES]]/C170</f>
        <v>8.6119554204660581E-2</v>
      </c>
      <c r="L53" s="18">
        <v>0.183</v>
      </c>
      <c r="M53" s="80">
        <f>1-(Table62[[#This Row],[NbP]]+Table62[[#This Row],[NbP2]])</f>
        <v>0.53748733535967574</v>
      </c>
    </row>
    <row r="54" spans="1:13" ht="20">
      <c r="A54" s="78" t="s">
        <v>2102</v>
      </c>
      <c r="B54" s="78" t="s">
        <v>297</v>
      </c>
      <c r="C54" s="78">
        <v>55</v>
      </c>
      <c r="D54" s="78">
        <f>Table61[[#This Row],[2019]]/C171</f>
        <v>1.5414798206278026E-3</v>
      </c>
      <c r="F54" s="16" t="s">
        <v>2146</v>
      </c>
      <c r="G54" s="17">
        <v>13762</v>
      </c>
      <c r="H54" s="80">
        <f>Table62[[#This Row],[TRUMP VOTES]]/C171</f>
        <v>0.38570627802690582</v>
      </c>
      <c r="I54" s="18">
        <v>0.82</v>
      </c>
      <c r="J54" s="17">
        <v>2780</v>
      </c>
      <c r="K54" s="80">
        <f>Table62[[#This Row],[BIDEN VOTES]]/C171</f>
        <v>7.791479820627803E-2</v>
      </c>
      <c r="L54" s="18">
        <v>0.16600000000000001</v>
      </c>
      <c r="M54" s="80">
        <f>1-(Table62[[#This Row],[NbP]]+Table62[[#This Row],[NbP2]])</f>
        <v>0.53637892376681617</v>
      </c>
    </row>
    <row r="55" spans="1:13" ht="20">
      <c r="A55" s="78" t="s">
        <v>2025</v>
      </c>
      <c r="B55" s="78" t="s">
        <v>297</v>
      </c>
      <c r="C55" s="78">
        <v>28</v>
      </c>
      <c r="D55" s="78">
        <f>Table61[[#This Row],[2019]]/C172</f>
        <v>8.5634767715692573E-4</v>
      </c>
      <c r="F55" s="16" t="s">
        <v>2063</v>
      </c>
      <c r="G55" s="17">
        <v>12273</v>
      </c>
      <c r="H55" s="80">
        <f>Table62[[#This Row],[TRUMP VOTES]]/C172</f>
        <v>0.37535553720524817</v>
      </c>
      <c r="I55" s="18">
        <v>0.72</v>
      </c>
      <c r="J55" s="17">
        <v>4472</v>
      </c>
      <c r="K55" s="80">
        <f>Table62[[#This Row],[BIDEN VOTES]]/C172</f>
        <v>0.13677095758020613</v>
      </c>
      <c r="L55" s="18">
        <v>0.26200000000000001</v>
      </c>
      <c r="M55" s="80">
        <f>1-(Table62[[#This Row],[NbP]]+Table62[[#This Row],[NbP2]])</f>
        <v>0.48787350521454576</v>
      </c>
    </row>
    <row r="56" spans="1:13" ht="20">
      <c r="A56" s="78" t="s">
        <v>120</v>
      </c>
      <c r="B56" s="78" t="s">
        <v>297</v>
      </c>
      <c r="C56" s="78">
        <v>66</v>
      </c>
      <c r="D56" s="78">
        <f>Table61[[#This Row],[2019]]/C173</f>
        <v>1.7258962893229779E-3</v>
      </c>
      <c r="F56" s="16" t="s">
        <v>219</v>
      </c>
      <c r="G56" s="17">
        <v>14426</v>
      </c>
      <c r="H56" s="80">
        <f>Table62[[#This Row],[TRUMP VOTES]]/C173</f>
        <v>0.37723908893595881</v>
      </c>
      <c r="I56" s="18">
        <v>0.80600000000000005</v>
      </c>
      <c r="J56" s="17">
        <v>3214</v>
      </c>
      <c r="K56" s="80">
        <f>Table62[[#This Row],[BIDEN VOTES]]/C173</f>
        <v>8.4045919301273503E-2</v>
      </c>
      <c r="L56" s="18">
        <v>0.18</v>
      </c>
      <c r="M56" s="80">
        <f>1-(Table62[[#This Row],[NbP]]+Table62[[#This Row],[NbP2]])</f>
        <v>0.53871499176276771</v>
      </c>
    </row>
    <row r="57" spans="1:13" ht="20">
      <c r="A57" s="78" t="s">
        <v>121</v>
      </c>
      <c r="B57" s="78" t="s">
        <v>297</v>
      </c>
      <c r="C57" s="78">
        <v>11</v>
      </c>
      <c r="D57" s="78">
        <f>Table61[[#This Row],[2019]]/C174</f>
        <v>1.1113356233582541E-3</v>
      </c>
      <c r="F57" s="16" t="s">
        <v>220</v>
      </c>
      <c r="G57" s="17">
        <v>3553</v>
      </c>
      <c r="H57" s="80">
        <f>Table62[[#This Row],[TRUMP VOTES]]/C174</f>
        <v>0.35896140634471613</v>
      </c>
      <c r="I57" s="18">
        <v>0.77100000000000002</v>
      </c>
      <c r="J57" s="19">
        <v>984</v>
      </c>
      <c r="K57" s="80">
        <f>Table62[[#This Row],[BIDEN VOTES]]/C174</f>
        <v>9.9414023034956556E-2</v>
      </c>
      <c r="L57" s="18">
        <v>0.21299999999999999</v>
      </c>
      <c r="M57" s="80">
        <f>1-(Table62[[#This Row],[NbP]]+Table62[[#This Row],[NbP2]])</f>
        <v>0.54162457062032732</v>
      </c>
    </row>
    <row r="58" spans="1:13" ht="20">
      <c r="A58" s="78" t="s">
        <v>122</v>
      </c>
      <c r="B58" s="78" t="s">
        <v>297</v>
      </c>
      <c r="C58" s="78">
        <v>70</v>
      </c>
      <c r="D58" s="78">
        <f>Table61[[#This Row],[2019]]/C175</f>
        <v>1.2154888001389131E-3</v>
      </c>
      <c r="F58" s="16" t="s">
        <v>221</v>
      </c>
      <c r="G58" s="17">
        <v>21848</v>
      </c>
      <c r="H58" s="80">
        <f>Table62[[#This Row],[TRUMP VOTES]]/C175</f>
        <v>0.37937141864907103</v>
      </c>
      <c r="I58" s="18">
        <v>0.753</v>
      </c>
      <c r="J58" s="17">
        <v>6607</v>
      </c>
      <c r="K58" s="80">
        <f>Table62[[#This Row],[BIDEN VOTES]]/C175</f>
        <v>0.11472477860739712</v>
      </c>
      <c r="L58" s="18">
        <v>0.22800000000000001</v>
      </c>
      <c r="M58" s="80">
        <f>1-(Table62[[#This Row],[NbP]]+Table62[[#This Row],[NbP2]])</f>
        <v>0.50590380274353186</v>
      </c>
    </row>
    <row r="59" spans="1:13" ht="20">
      <c r="A59" s="78" t="s">
        <v>307</v>
      </c>
      <c r="B59" s="78" t="s">
        <v>297</v>
      </c>
      <c r="C59" s="78">
        <v>33</v>
      </c>
      <c r="D59" s="78">
        <f>Table61[[#This Row],[2019]]/C176</f>
        <v>2.7490836387870708E-3</v>
      </c>
      <c r="F59" s="16" t="s">
        <v>284</v>
      </c>
      <c r="G59" s="17">
        <v>4363</v>
      </c>
      <c r="H59" s="80">
        <f>Table62[[#This Row],[TRUMP VOTES]]/C176</f>
        <v>0.36346217927357549</v>
      </c>
      <c r="I59" s="18">
        <v>0.76300000000000001</v>
      </c>
      <c r="J59" s="17">
        <v>1275</v>
      </c>
      <c r="K59" s="80">
        <f>Table62[[#This Row],[BIDEN VOTES]]/C176</f>
        <v>0.10621459513495501</v>
      </c>
      <c r="L59" s="18">
        <v>0.223</v>
      </c>
      <c r="M59" s="80">
        <f>1-(Table62[[#This Row],[NbP]]+Table62[[#This Row],[NbP2]])</f>
        <v>0.53032322559146949</v>
      </c>
    </row>
    <row r="60" spans="1:13" ht="20">
      <c r="A60" s="78" t="s">
        <v>1399</v>
      </c>
      <c r="B60" s="78" t="s">
        <v>297</v>
      </c>
      <c r="C60" s="78">
        <v>16</v>
      </c>
      <c r="D60" s="78">
        <f>Table61[[#This Row],[2019]]/C177</f>
        <v>1.068875676397889E-3</v>
      </c>
      <c r="F60" s="16" t="s">
        <v>1407</v>
      </c>
      <c r="G60" s="17">
        <v>5267</v>
      </c>
      <c r="H60" s="80">
        <f>Table62[[#This Row],[TRUMP VOTES]]/C177</f>
        <v>0.35186051172423005</v>
      </c>
      <c r="I60" s="18">
        <v>0.77900000000000003</v>
      </c>
      <c r="J60" s="17">
        <v>1410</v>
      </c>
      <c r="K60" s="80">
        <f>Table62[[#This Row],[BIDEN VOTES]]/C177</f>
        <v>9.419466898256397E-2</v>
      </c>
      <c r="L60" s="18">
        <v>0.20899999999999999</v>
      </c>
      <c r="M60" s="80">
        <f>1-(Table62[[#This Row],[NbP]]+Table62[[#This Row],[NbP2]])</f>
        <v>0.55394481929320594</v>
      </c>
    </row>
    <row r="61" spans="1:13" ht="20">
      <c r="A61" s="78" t="s">
        <v>124</v>
      </c>
      <c r="B61" s="78" t="s">
        <v>297</v>
      </c>
      <c r="C61" s="78">
        <v>48</v>
      </c>
      <c r="D61" s="78">
        <f>Table61[[#This Row],[2019]]/C178</f>
        <v>3.1674805331925564E-3</v>
      </c>
      <c r="F61" s="16" t="s">
        <v>225</v>
      </c>
      <c r="G61" s="17">
        <v>6076</v>
      </c>
      <c r="H61" s="80">
        <f>Table62[[#This Row],[TRUMP VOTES]]/C178</f>
        <v>0.40095024415995778</v>
      </c>
      <c r="I61" s="18">
        <v>0.77500000000000002</v>
      </c>
      <c r="J61" s="17">
        <v>1662</v>
      </c>
      <c r="K61" s="80">
        <f>Table62[[#This Row],[BIDEN VOTES]]/C178</f>
        <v>0.10967401346179227</v>
      </c>
      <c r="L61" s="18">
        <v>0.21199999999999999</v>
      </c>
      <c r="M61" s="80">
        <f>1-(Table62[[#This Row],[NbP]]+Table62[[#This Row],[NbP2]])</f>
        <v>0.48937574237824999</v>
      </c>
    </row>
    <row r="62" spans="1:13" ht="20">
      <c r="A62" s="78" t="s">
        <v>125</v>
      </c>
      <c r="B62" s="78" t="s">
        <v>297</v>
      </c>
      <c r="C62" s="78">
        <v>19</v>
      </c>
      <c r="D62" s="78">
        <f>Table61[[#This Row],[2019]]/C179</f>
        <v>1.5604467805519053E-3</v>
      </c>
      <c r="F62" s="16" t="s">
        <v>226</v>
      </c>
      <c r="G62" s="17">
        <v>4584</v>
      </c>
      <c r="H62" s="80">
        <f>Table62[[#This Row],[TRUMP VOTES]]/C179</f>
        <v>0.3764783180026281</v>
      </c>
      <c r="I62" s="18">
        <v>0.80800000000000005</v>
      </c>
      <c r="J62" s="17">
        <v>1019</v>
      </c>
      <c r="K62" s="80">
        <f>Table62[[#This Row],[BIDEN VOTES]]/C179</f>
        <v>8.3689224704336401E-2</v>
      </c>
      <c r="L62" s="18">
        <v>0.18</v>
      </c>
      <c r="M62" s="80">
        <f>1-(Table62[[#This Row],[NbP]]+Table62[[#This Row],[NbP2]])</f>
        <v>0.53983245729303553</v>
      </c>
    </row>
    <row r="63" spans="1:13" ht="20">
      <c r="A63" s="78" t="s">
        <v>2103</v>
      </c>
      <c r="B63" s="78" t="s">
        <v>297</v>
      </c>
      <c r="C63" s="78">
        <v>15</v>
      </c>
      <c r="D63" s="78">
        <f>Table61[[#This Row],[2019]]/C180</f>
        <v>1.7062905243999545E-3</v>
      </c>
      <c r="F63" s="16" t="s">
        <v>2148</v>
      </c>
      <c r="G63" s="17">
        <v>3892</v>
      </c>
      <c r="H63" s="80">
        <f>Table62[[#This Row],[TRUMP VOTES]]/C180</f>
        <v>0.44272551473097488</v>
      </c>
      <c r="I63" s="18">
        <v>0.81599999999999995</v>
      </c>
      <c r="J63" s="19">
        <v>814</v>
      </c>
      <c r="K63" s="80">
        <f>Table62[[#This Row],[BIDEN VOTES]]/C180</f>
        <v>9.2594699124104202E-2</v>
      </c>
      <c r="L63" s="18">
        <v>0.17100000000000001</v>
      </c>
      <c r="M63" s="80">
        <f>1-(Table62[[#This Row],[NbP]]+Table62[[#This Row],[NbP2]])</f>
        <v>0.46467978614492089</v>
      </c>
    </row>
    <row r="64" spans="1:13" ht="20">
      <c r="A64" s="78" t="s">
        <v>126</v>
      </c>
      <c r="B64" s="78" t="s">
        <v>297</v>
      </c>
      <c r="C64" s="78">
        <v>66</v>
      </c>
      <c r="D64" s="78">
        <f>Table61[[#This Row],[2019]]/C181</f>
        <v>2.3099538009239817E-3</v>
      </c>
      <c r="F64" s="16" t="s">
        <v>227</v>
      </c>
      <c r="G64" s="17">
        <v>9915</v>
      </c>
      <c r="H64" s="80">
        <f>Table62[[#This Row],[TRUMP VOTES]]/C181</f>
        <v>0.34701805963880722</v>
      </c>
      <c r="I64" s="18">
        <v>0.74299999999999999</v>
      </c>
      <c r="J64" s="17">
        <v>3202</v>
      </c>
      <c r="K64" s="80">
        <f>Table62[[#This Row],[BIDEN VOTES]]/C181</f>
        <v>0.1120677586448271</v>
      </c>
      <c r="L64" s="18">
        <v>0.24</v>
      </c>
      <c r="M64" s="80">
        <f>1-(Table62[[#This Row],[NbP]]+Table62[[#This Row],[NbP2]])</f>
        <v>0.54091418171636563</v>
      </c>
    </row>
    <row r="65" spans="1:13" ht="20">
      <c r="A65" s="78" t="s">
        <v>2104</v>
      </c>
      <c r="B65" s="78" t="s">
        <v>297</v>
      </c>
      <c r="C65" s="78">
        <v>51</v>
      </c>
      <c r="D65" s="78">
        <f>Table61[[#This Row],[2019]]/C182</f>
        <v>2.2288261515601782E-3</v>
      </c>
      <c r="F65" s="16" t="s">
        <v>2147</v>
      </c>
      <c r="G65" s="17">
        <v>7465</v>
      </c>
      <c r="H65" s="80">
        <f>Table62[[#This Row],[TRUMP VOTES]]/C182</f>
        <v>0.32623896512542611</v>
      </c>
      <c r="I65" s="18">
        <v>0.82499999999999996</v>
      </c>
      <c r="J65" s="17">
        <v>1439</v>
      </c>
      <c r="K65" s="80">
        <f>Table62[[#This Row],[BIDEN VOTES]]/C182</f>
        <v>6.288785945284503E-2</v>
      </c>
      <c r="L65" s="18">
        <v>0.159</v>
      </c>
      <c r="M65" s="80">
        <f>1-(Table62[[#This Row],[NbP]]+Table62[[#This Row],[NbP2]])</f>
        <v>0.61087317542172892</v>
      </c>
    </row>
    <row r="66" spans="1:13" ht="20">
      <c r="A66" s="78" t="s">
        <v>812</v>
      </c>
      <c r="B66" s="78" t="s">
        <v>297</v>
      </c>
      <c r="C66" s="78">
        <v>3</v>
      </c>
      <c r="D66" s="78">
        <f>Table61[[#This Row],[2019]]/C183</f>
        <v>8.2804305823902839E-4</v>
      </c>
      <c r="F66" s="16" t="s">
        <v>794</v>
      </c>
      <c r="G66" s="17">
        <v>1541</v>
      </c>
      <c r="H66" s="80">
        <f>Table62[[#This Row],[TRUMP VOTES]]/C183</f>
        <v>0.42533811758211426</v>
      </c>
      <c r="I66" s="18">
        <v>0.86599999999999999</v>
      </c>
      <c r="J66" s="19">
        <v>222</v>
      </c>
      <c r="K66" s="80">
        <f>Table62[[#This Row],[BIDEN VOTES]]/C183</f>
        <v>6.1275186309688104E-2</v>
      </c>
      <c r="L66" s="18">
        <v>0.125</v>
      </c>
      <c r="M66" s="80">
        <f>1-(Table62[[#This Row],[NbP]]+Table62[[#This Row],[NbP2]])</f>
        <v>0.51338669610819765</v>
      </c>
    </row>
    <row r="67" spans="1:13" ht="20">
      <c r="A67" s="78" t="s">
        <v>1269</v>
      </c>
      <c r="B67" s="78" t="s">
        <v>297</v>
      </c>
      <c r="C67" s="78">
        <v>34</v>
      </c>
      <c r="D67" s="78">
        <f>Table61[[#This Row],[2019]]/C184</f>
        <v>1.3402183767590365E-3</v>
      </c>
      <c r="F67" s="16" t="s">
        <v>1362</v>
      </c>
      <c r="G67" s="17">
        <v>10176</v>
      </c>
      <c r="H67" s="80">
        <f>Table62[[#This Row],[TRUMP VOTES]]/C184</f>
        <v>0.40111947652646929</v>
      </c>
      <c r="I67" s="18">
        <v>0.82199999999999995</v>
      </c>
      <c r="J67" s="17">
        <v>2038</v>
      </c>
      <c r="K67" s="80">
        <f>Table62[[#This Row],[BIDEN VOTES]]/C184</f>
        <v>8.0334266230438725E-2</v>
      </c>
      <c r="L67" s="18">
        <v>0.16500000000000001</v>
      </c>
      <c r="M67" s="80">
        <f>1-(Table62[[#This Row],[NbP]]+Table62[[#This Row],[NbP2]])</f>
        <v>0.518546257243092</v>
      </c>
    </row>
    <row r="68" spans="1:13" ht="20">
      <c r="A68" s="78" t="s">
        <v>25</v>
      </c>
      <c r="B68" s="78" t="s">
        <v>297</v>
      </c>
      <c r="C68" s="78">
        <v>32</v>
      </c>
      <c r="D68" s="78">
        <f>Table61[[#This Row],[2019]]/C185</f>
        <v>2.4009603841536613E-3</v>
      </c>
      <c r="F68" s="16" t="s">
        <v>2149</v>
      </c>
      <c r="G68" s="17">
        <v>3537</v>
      </c>
      <c r="H68" s="80">
        <f>Table62[[#This Row],[TRUMP VOTES]]/C185</f>
        <v>0.26538115246098437</v>
      </c>
      <c r="I68" s="18">
        <v>0.74399999999999999</v>
      </c>
      <c r="J68" s="17">
        <v>1178</v>
      </c>
      <c r="K68" s="80">
        <f>Table62[[#This Row],[BIDEN VOTES]]/C185</f>
        <v>8.8385354141656658E-2</v>
      </c>
      <c r="L68" s="18">
        <v>0.248</v>
      </c>
      <c r="M68" s="80">
        <f>1-(Table62[[#This Row],[NbP]]+Table62[[#This Row],[NbP2]])</f>
        <v>0.64623349339735903</v>
      </c>
    </row>
    <row r="69" spans="1:13" ht="20">
      <c r="A69" s="78" t="s">
        <v>2105</v>
      </c>
      <c r="B69" s="78" t="s">
        <v>297</v>
      </c>
      <c r="C69" s="78">
        <v>14</v>
      </c>
      <c r="D69" s="78">
        <f>Table61[[#This Row],[2019]]/C186</f>
        <v>8.8011567234550826E-4</v>
      </c>
      <c r="F69" s="16" t="s">
        <v>2150</v>
      </c>
      <c r="G69" s="17">
        <v>5744</v>
      </c>
      <c r="H69" s="80">
        <f>Table62[[#This Row],[TRUMP VOTES]]/C186</f>
        <v>0.36109888728232853</v>
      </c>
      <c r="I69" s="18">
        <v>0.80300000000000005</v>
      </c>
      <c r="J69" s="17">
        <v>1308</v>
      </c>
      <c r="K69" s="80">
        <f>Table62[[#This Row],[BIDEN VOTES]]/C186</f>
        <v>8.2227949959137486E-2</v>
      </c>
      <c r="L69" s="18">
        <v>0.183</v>
      </c>
      <c r="M69" s="80">
        <f>1-(Table62[[#This Row],[NbP]]+Table62[[#This Row],[NbP2]])</f>
        <v>0.55667316275853396</v>
      </c>
    </row>
    <row r="70" spans="1:13" ht="20">
      <c r="A70" s="78" t="s">
        <v>132</v>
      </c>
      <c r="B70" s="78" t="s">
        <v>297</v>
      </c>
      <c r="C70" s="78">
        <v>14</v>
      </c>
      <c r="D70" s="78">
        <f>Table61[[#This Row],[2019]]/C187</f>
        <v>1.6222479721900347E-3</v>
      </c>
      <c r="F70" s="16" t="s">
        <v>231</v>
      </c>
      <c r="G70" s="17">
        <v>3477</v>
      </c>
      <c r="H70" s="80">
        <f>Table62[[#This Row],[TRUMP VOTES]]/C187</f>
        <v>0.40289687137891078</v>
      </c>
      <c r="I70" s="18">
        <v>0.77600000000000002</v>
      </c>
      <c r="J70" s="19">
        <v>936</v>
      </c>
      <c r="K70" s="80">
        <f>Table62[[#This Row],[BIDEN VOTES]]/C187</f>
        <v>0.10845886442641947</v>
      </c>
      <c r="L70" s="18">
        <v>0.20899999999999999</v>
      </c>
      <c r="M70" s="80">
        <f>1-(Table62[[#This Row],[NbP]]+Table62[[#This Row],[NbP2]])</f>
        <v>0.48864426419466978</v>
      </c>
    </row>
    <row r="71" spans="1:13" ht="20">
      <c r="A71" s="78" t="s">
        <v>133</v>
      </c>
      <c r="B71" s="78" t="s">
        <v>297</v>
      </c>
      <c r="C71" s="78">
        <v>17</v>
      </c>
      <c r="D71" s="78">
        <f>Table61[[#This Row],[2019]]/C188</f>
        <v>1.489398983704223E-3</v>
      </c>
      <c r="F71" s="16" t="s">
        <v>232</v>
      </c>
      <c r="G71" s="17">
        <v>4465</v>
      </c>
      <c r="H71" s="80">
        <f>Table62[[#This Row],[TRUMP VOTES]]/C188</f>
        <v>0.39118626248466798</v>
      </c>
      <c r="I71" s="18">
        <v>0.77400000000000002</v>
      </c>
      <c r="J71" s="17">
        <v>1208</v>
      </c>
      <c r="K71" s="80">
        <f>Table62[[#This Row],[BIDEN VOTES]]/C188</f>
        <v>0.1058349395479236</v>
      </c>
      <c r="L71" s="18">
        <v>0.20899999999999999</v>
      </c>
      <c r="M71" s="80">
        <f>1-(Table62[[#This Row],[NbP]]+Table62[[#This Row],[NbP2]])</f>
        <v>0.50297879796740841</v>
      </c>
    </row>
    <row r="72" spans="1:13" ht="20">
      <c r="A72" s="78" t="s">
        <v>135</v>
      </c>
      <c r="B72" s="78" t="s">
        <v>297</v>
      </c>
      <c r="C72" s="78">
        <v>44</v>
      </c>
      <c r="D72" s="78">
        <f>Table61[[#This Row],[2019]]/C189</f>
        <v>2.1528525296017221E-3</v>
      </c>
      <c r="F72" s="16" t="s">
        <v>234</v>
      </c>
      <c r="G72" s="17">
        <v>7442</v>
      </c>
      <c r="H72" s="80">
        <f>Table62[[#This Row],[TRUMP VOTES]]/C189</f>
        <v>0.36412564830218219</v>
      </c>
      <c r="I72" s="18">
        <v>0.78400000000000003</v>
      </c>
      <c r="J72" s="17">
        <v>1924</v>
      </c>
      <c r="K72" s="80">
        <f>Table62[[#This Row],[BIDEN VOTES]]/C189</f>
        <v>9.4138369703493499E-2</v>
      </c>
      <c r="L72" s="18">
        <v>0.20300000000000001</v>
      </c>
      <c r="M72" s="80">
        <f>1-(Table62[[#This Row],[NbP]]+Table62[[#This Row],[NbP2]])</f>
        <v>0.54173598199432438</v>
      </c>
    </row>
    <row r="73" spans="1:13" ht="20">
      <c r="A73" s="78" t="s">
        <v>2106</v>
      </c>
      <c r="B73" s="78" t="s">
        <v>297</v>
      </c>
      <c r="C73" s="78">
        <v>78</v>
      </c>
      <c r="D73" s="78">
        <f>Table61[[#This Row],[2019]]/C190</f>
        <v>4.5151953690303909E-3</v>
      </c>
      <c r="F73" s="16" t="s">
        <v>2151</v>
      </c>
      <c r="G73" s="17">
        <v>5447</v>
      </c>
      <c r="H73" s="80">
        <f>Table62[[#This Row],[TRUMP VOTES]]/C190</f>
        <v>0.31531114327062226</v>
      </c>
      <c r="I73" s="18">
        <v>0.752</v>
      </c>
      <c r="J73" s="17">
        <v>1748</v>
      </c>
      <c r="K73" s="80">
        <f>Table62[[#This Row],[BIDEN VOTES]]/C190</f>
        <v>0.10118668596237337</v>
      </c>
      <c r="L73" s="18">
        <v>0.24099999999999999</v>
      </c>
      <c r="M73" s="80">
        <f>1-(Table62[[#This Row],[NbP]]+Table62[[#This Row],[NbP2]])</f>
        <v>0.58350217076700439</v>
      </c>
    </row>
    <row r="74" spans="1:13" ht="20">
      <c r="A74" s="78" t="s">
        <v>715</v>
      </c>
      <c r="B74" s="78" t="s">
        <v>297</v>
      </c>
      <c r="C74" s="78">
        <v>117</v>
      </c>
      <c r="D74" s="78">
        <f>Table61[[#This Row],[2019]]/C191</f>
        <v>2.007274224540214E-3</v>
      </c>
      <c r="F74" s="16" t="s">
        <v>487</v>
      </c>
      <c r="G74" s="17">
        <v>22120</v>
      </c>
      <c r="H74" s="80">
        <f>Table62[[#This Row],[TRUMP VOTES]]/C191</f>
        <v>0.37949492176777383</v>
      </c>
      <c r="I74" s="18">
        <v>0.77900000000000003</v>
      </c>
      <c r="J74" s="17">
        <v>5818</v>
      </c>
      <c r="K74" s="80">
        <f>Table62[[#This Row],[BIDEN VOTES]]/C191</f>
        <v>9.9814713148503986E-2</v>
      </c>
      <c r="L74" s="18">
        <v>0.20499999999999999</v>
      </c>
      <c r="M74" s="80">
        <f>1-(Table62[[#This Row],[NbP]]+Table62[[#This Row],[NbP2]])</f>
        <v>0.52069036508372224</v>
      </c>
    </row>
    <row r="75" spans="1:13" ht="20">
      <c r="A75" s="78" t="s">
        <v>2107</v>
      </c>
      <c r="B75" s="78" t="s">
        <v>297</v>
      </c>
      <c r="C75" s="78">
        <v>37</v>
      </c>
      <c r="D75" s="78">
        <f>Table61[[#This Row],[2019]]/C192</f>
        <v>1.6667417451236542E-3</v>
      </c>
      <c r="F75" s="16" t="s">
        <v>2152</v>
      </c>
      <c r="G75" s="17">
        <v>6865</v>
      </c>
      <c r="H75" s="80">
        <f>Table62[[#This Row],[TRUMP VOTES]]/C192</f>
        <v>0.30924816433172664</v>
      </c>
      <c r="I75" s="18">
        <v>0.69399999999999995</v>
      </c>
      <c r="J75" s="17">
        <v>2853</v>
      </c>
      <c r="K75" s="80">
        <f>Table62[[#This Row],[BIDEN VOTES]]/C192</f>
        <v>0.1285193026712915</v>
      </c>
      <c r="L75" s="18">
        <v>0.28899999999999998</v>
      </c>
      <c r="M75" s="80">
        <f>1-(Table62[[#This Row],[NbP]]+Table62[[#This Row],[NbP2]])</f>
        <v>0.56223253299698184</v>
      </c>
    </row>
    <row r="76" spans="1:13" ht="20">
      <c r="A76" s="78" t="s">
        <v>18</v>
      </c>
      <c r="B76" s="78" t="s">
        <v>297</v>
      </c>
      <c r="C76" s="78">
        <v>33</v>
      </c>
      <c r="D76" s="78">
        <f>Table61[[#This Row],[2019]]/C193</f>
        <v>3.1247040999905313E-3</v>
      </c>
      <c r="F76" s="16" t="s">
        <v>2153</v>
      </c>
      <c r="G76" s="17">
        <v>3847</v>
      </c>
      <c r="H76" s="80">
        <f>Table62[[#This Row],[TRUMP VOTES]]/C193</f>
        <v>0.36426474765647193</v>
      </c>
      <c r="I76" s="18">
        <v>0.81200000000000006</v>
      </c>
      <c r="J76" s="19">
        <v>823</v>
      </c>
      <c r="K76" s="80">
        <f>Table62[[#This Row],[BIDEN VOTES]]/C193</f>
        <v>7.7928226493703248E-2</v>
      </c>
      <c r="L76" s="18">
        <v>0.17399999999999999</v>
      </c>
      <c r="M76" s="80">
        <f>1-(Table62[[#This Row],[NbP]]+Table62[[#This Row],[NbP2]])</f>
        <v>0.55780702584982489</v>
      </c>
    </row>
    <row r="77" spans="1:13" ht="20">
      <c r="A77" s="78" t="s">
        <v>2108</v>
      </c>
      <c r="B77" s="78" t="s">
        <v>297</v>
      </c>
      <c r="C77" s="78">
        <v>2</v>
      </c>
      <c r="D77" s="78">
        <f>Table61[[#This Row],[2019]]/C194</f>
        <v>1.4691838683611255E-4</v>
      </c>
      <c r="F77" s="16" t="s">
        <v>2154</v>
      </c>
      <c r="G77" s="17">
        <v>6425</v>
      </c>
      <c r="H77" s="80">
        <f>Table62[[#This Row],[TRUMP VOTES]]/C194</f>
        <v>0.47197531771101153</v>
      </c>
      <c r="I77" s="18">
        <v>0.85199999999999998</v>
      </c>
      <c r="J77" s="17">
        <v>1037</v>
      </c>
      <c r="K77" s="80">
        <f>Table62[[#This Row],[BIDEN VOTES]]/C194</f>
        <v>7.6177183574524354E-2</v>
      </c>
      <c r="L77" s="18">
        <v>0.13800000000000001</v>
      </c>
      <c r="M77" s="80">
        <f>1-(Table62[[#This Row],[NbP]]+Table62[[#This Row],[NbP2]])</f>
        <v>0.45184749871446406</v>
      </c>
    </row>
    <row r="78" spans="1:13" ht="20">
      <c r="A78" s="78" t="s">
        <v>2109</v>
      </c>
      <c r="B78" s="78" t="s">
        <v>297</v>
      </c>
      <c r="C78" s="78">
        <v>24</v>
      </c>
      <c r="D78" s="78">
        <f>Table61[[#This Row],[2019]]/C195</f>
        <v>2.6263952724885093E-3</v>
      </c>
      <c r="F78" s="16" t="s">
        <v>2155</v>
      </c>
      <c r="G78" s="17">
        <v>4064</v>
      </c>
      <c r="H78" s="80">
        <f>Table62[[#This Row],[TRUMP VOTES]]/C195</f>
        <v>0.44473626614138762</v>
      </c>
      <c r="I78" s="18">
        <v>0.83599999999999997</v>
      </c>
      <c r="J78" s="19">
        <v>752</v>
      </c>
      <c r="K78" s="80">
        <f>Table62[[#This Row],[BIDEN VOTES]]/C195</f>
        <v>8.2293718537973293E-2</v>
      </c>
      <c r="L78" s="18">
        <v>0.155</v>
      </c>
      <c r="M78" s="80">
        <f>1-(Table62[[#This Row],[NbP]]+Table62[[#This Row],[NbP2]])</f>
        <v>0.47297001532063909</v>
      </c>
    </row>
    <row r="79" spans="1:13" ht="20">
      <c r="A79" s="78" t="s">
        <v>2110</v>
      </c>
      <c r="B79" s="78" t="s">
        <v>297</v>
      </c>
      <c r="C79" s="78">
        <v>69</v>
      </c>
      <c r="D79" s="78">
        <f>Table61[[#This Row],[2019]]/C196</f>
        <v>4.2253521126760559E-3</v>
      </c>
      <c r="F79" s="16" t="s">
        <v>2156</v>
      </c>
      <c r="G79" s="17">
        <v>4120</v>
      </c>
      <c r="H79" s="80">
        <f>Table62[[#This Row],[TRUMP VOTES]]/C196</f>
        <v>0.25229638701775875</v>
      </c>
      <c r="I79" s="18">
        <v>0.71799999999999997</v>
      </c>
      <c r="J79" s="17">
        <v>1560</v>
      </c>
      <c r="K79" s="80">
        <f>Table62[[#This Row],[BIDEN VOTES]]/C196</f>
        <v>9.5529699938763007E-2</v>
      </c>
      <c r="L79" s="18">
        <v>0.27200000000000002</v>
      </c>
      <c r="M79" s="80">
        <f>1-(Table62[[#This Row],[NbP]]+Table62[[#This Row],[NbP2]])</f>
        <v>0.65217391304347827</v>
      </c>
    </row>
    <row r="80" spans="1:13" ht="20">
      <c r="A80" s="78" t="s">
        <v>138</v>
      </c>
      <c r="B80" s="78" t="s">
        <v>297</v>
      </c>
      <c r="C80" s="78">
        <v>37</v>
      </c>
      <c r="D80" s="78">
        <f>Table61[[#This Row],[2019]]/C197</f>
        <v>1.9243771779268737E-3</v>
      </c>
      <c r="F80" s="16" t="s">
        <v>237</v>
      </c>
      <c r="G80" s="17">
        <v>7657</v>
      </c>
      <c r="H80" s="80">
        <f>Table62[[#This Row],[TRUMP VOTES]]/C197</f>
        <v>0.39824205544286678</v>
      </c>
      <c r="I80" s="18">
        <v>0.81100000000000005</v>
      </c>
      <c r="J80" s="17">
        <v>1664</v>
      </c>
      <c r="K80" s="80">
        <f>Table62[[#This Row],[BIDEN VOTES]]/C197</f>
        <v>8.654496281271129E-2</v>
      </c>
      <c r="L80" s="18">
        <v>0.17599999999999999</v>
      </c>
      <c r="M80" s="80">
        <f>1-(Table62[[#This Row],[NbP]]+Table62[[#This Row],[NbP2]])</f>
        <v>0.51521298174442198</v>
      </c>
    </row>
    <row r="81" spans="1:13" ht="20">
      <c r="A81" s="78" t="s">
        <v>2111</v>
      </c>
      <c r="B81" s="78" t="s">
        <v>297</v>
      </c>
      <c r="C81" s="78">
        <v>36</v>
      </c>
      <c r="D81" s="78">
        <f>Table61[[#This Row],[2019]]/C198</f>
        <v>8.4863628863063106E-4</v>
      </c>
      <c r="F81" s="16" t="s">
        <v>2157</v>
      </c>
      <c r="G81" s="17">
        <v>13854</v>
      </c>
      <c r="H81" s="80">
        <f>Table62[[#This Row],[TRUMP VOTES]]/C198</f>
        <v>0.32658353174135452</v>
      </c>
      <c r="I81" s="18">
        <v>0.72499999999999998</v>
      </c>
      <c r="J81" s="17">
        <v>4783</v>
      </c>
      <c r="K81" s="80">
        <f>Table62[[#This Row],[BIDEN VOTES]]/C198</f>
        <v>0.11275076023667523</v>
      </c>
      <c r="L81" s="18">
        <v>0.25</v>
      </c>
      <c r="M81" s="80">
        <f>1-(Table62[[#This Row],[NbP]]+Table62[[#This Row],[NbP2]])</f>
        <v>0.56066570802197024</v>
      </c>
    </row>
    <row r="82" spans="1:13" ht="20">
      <c r="A82" s="78" t="s">
        <v>2112</v>
      </c>
      <c r="B82" s="78" t="s">
        <v>297</v>
      </c>
      <c r="C82" s="78">
        <v>121</v>
      </c>
      <c r="D82" s="78">
        <f>Table61[[#This Row],[2019]]/C199</f>
        <v>2.7137955009307645E-3</v>
      </c>
      <c r="F82" s="16" t="s">
        <v>2158</v>
      </c>
      <c r="G82" s="17">
        <v>13480</v>
      </c>
      <c r="H82" s="80">
        <f>Table62[[#This Row],[TRUMP VOTES]]/C199</f>
        <v>0.30233027564088188</v>
      </c>
      <c r="I82" s="18">
        <v>0.68899999999999995</v>
      </c>
      <c r="J82" s="17">
        <v>5637</v>
      </c>
      <c r="K82" s="80">
        <f>Table62[[#This Row],[BIDEN VOTES]]/C199</f>
        <v>0.12642698544418776</v>
      </c>
      <c r="L82" s="18">
        <v>0.28799999999999998</v>
      </c>
      <c r="M82" s="80">
        <f>1-(Table62[[#This Row],[NbP]]+Table62[[#This Row],[NbP2]])</f>
        <v>0.57124273891493038</v>
      </c>
    </row>
    <row r="83" spans="1:13" ht="20">
      <c r="A83" s="78" t="s">
        <v>913</v>
      </c>
      <c r="B83" s="78" t="s">
        <v>297</v>
      </c>
      <c r="C83" s="78">
        <v>16</v>
      </c>
      <c r="D83" s="78">
        <f>Table61[[#This Row],[2019]]/C200</f>
        <v>8.811543121489151E-4</v>
      </c>
      <c r="F83" s="16" t="s">
        <v>945</v>
      </c>
      <c r="G83" s="17">
        <v>5863</v>
      </c>
      <c r="H83" s="80">
        <f>Table62[[#This Row],[TRUMP VOTES]]/C200</f>
        <v>0.32288798325806806</v>
      </c>
      <c r="I83" s="18">
        <v>0.76200000000000001</v>
      </c>
      <c r="J83" s="17">
        <v>1717</v>
      </c>
      <c r="K83" s="80">
        <f>Table62[[#This Row],[BIDEN VOTES]]/C200</f>
        <v>9.4558872122480445E-2</v>
      </c>
      <c r="L83" s="18">
        <v>0.223</v>
      </c>
      <c r="M83" s="80">
        <f>1-(Table62[[#This Row],[NbP]]+Table62[[#This Row],[NbP2]])</f>
        <v>0.58255314461945151</v>
      </c>
    </row>
    <row r="84" spans="1:13" ht="20">
      <c r="A84" s="78" t="s">
        <v>2113</v>
      </c>
      <c r="B84" s="78" t="s">
        <v>297</v>
      </c>
      <c r="C84" s="78">
        <v>24</v>
      </c>
      <c r="D84" s="78">
        <f>Table61[[#This Row],[2019]]/C201</f>
        <v>2.3335407591785936E-4</v>
      </c>
      <c r="F84" s="16" t="s">
        <v>2159</v>
      </c>
      <c r="G84" s="17">
        <v>28917</v>
      </c>
      <c r="H84" s="80">
        <f>Table62[[#This Row],[TRUMP VOTES]]/C201</f>
        <v>0.28116249222153078</v>
      </c>
      <c r="I84" s="18">
        <v>0.505</v>
      </c>
      <c r="J84" s="17">
        <v>27179</v>
      </c>
      <c r="K84" s="80">
        <f>Table62[[#This Row],[BIDEN VOTES]]/C201</f>
        <v>0.26426376789047917</v>
      </c>
      <c r="L84" s="18">
        <v>0.47499999999999998</v>
      </c>
      <c r="M84" s="80">
        <f>1-(Table62[[#This Row],[NbP]]+Table62[[#This Row],[NbP2]])</f>
        <v>0.4545737398879901</v>
      </c>
    </row>
    <row r="85" spans="1:13" ht="20">
      <c r="A85" s="78" t="s">
        <v>140</v>
      </c>
      <c r="B85" s="78" t="s">
        <v>297</v>
      </c>
      <c r="C85" s="78">
        <v>25</v>
      </c>
      <c r="D85" s="78">
        <f>Table61[[#This Row],[2019]]/C202</f>
        <v>7.8049389653772909E-4</v>
      </c>
      <c r="F85" s="16" t="s">
        <v>239</v>
      </c>
      <c r="G85" s="17">
        <v>11850</v>
      </c>
      <c r="H85" s="80">
        <f>Table62[[#This Row],[TRUMP VOTES]]/C202</f>
        <v>0.36995410695888359</v>
      </c>
      <c r="I85" s="18">
        <v>0.78700000000000003</v>
      </c>
      <c r="J85" s="17">
        <v>2885</v>
      </c>
      <c r="K85" s="80">
        <f>Table62[[#This Row],[BIDEN VOTES]]/C202</f>
        <v>9.006899566045394E-2</v>
      </c>
      <c r="L85" s="18">
        <v>0.192</v>
      </c>
      <c r="M85" s="80">
        <f>1-(Table62[[#This Row],[NbP]]+Table62[[#This Row],[NbP2]])</f>
        <v>0.53997689738066246</v>
      </c>
    </row>
    <row r="86" spans="1:13" ht="20">
      <c r="A86" s="78" t="s">
        <v>1277</v>
      </c>
      <c r="B86" s="78" t="s">
        <v>297</v>
      </c>
      <c r="C86" s="78">
        <v>73</v>
      </c>
      <c r="D86" s="78">
        <f>Table61[[#This Row],[2019]]/C203</f>
        <v>1.3942206688439427E-3</v>
      </c>
      <c r="F86" s="16" t="s">
        <v>1370</v>
      </c>
      <c r="G86" s="17">
        <v>10329</v>
      </c>
      <c r="H86" s="80">
        <f>Table62[[#This Row],[TRUMP VOTES]]/C203</f>
        <v>0.19727267518478198</v>
      </c>
      <c r="I86" s="18">
        <v>0.71699999999999997</v>
      </c>
      <c r="J86" s="17">
        <v>3740</v>
      </c>
      <c r="K86" s="80">
        <f>Table62[[#This Row],[BIDEN VOTES]]/C203</f>
        <v>7.1429935636662278E-2</v>
      </c>
      <c r="L86" s="18">
        <v>0.25900000000000001</v>
      </c>
      <c r="M86" s="80">
        <f>1-(Table62[[#This Row],[NbP]]+Table62[[#This Row],[NbP2]])</f>
        <v>0.73129738917855569</v>
      </c>
    </row>
    <row r="87" spans="1:13" ht="20">
      <c r="A87" s="78" t="s">
        <v>141</v>
      </c>
      <c r="B87" s="78" t="s">
        <v>297</v>
      </c>
      <c r="C87" s="78">
        <v>15</v>
      </c>
      <c r="D87" s="78">
        <f>Table61[[#This Row],[2019]]/C204</f>
        <v>3.1605562579013905E-3</v>
      </c>
      <c r="F87" s="16" t="s">
        <v>240</v>
      </c>
      <c r="G87" s="17">
        <v>1984</v>
      </c>
      <c r="H87" s="80">
        <f>Table62[[#This Row],[TRUMP VOTES]]/C204</f>
        <v>0.41803624104509063</v>
      </c>
      <c r="I87" s="18">
        <v>0.84</v>
      </c>
      <c r="J87" s="19">
        <v>361</v>
      </c>
      <c r="K87" s="80">
        <f>Table62[[#This Row],[BIDEN VOTES]]/C204</f>
        <v>7.6064053940160137E-2</v>
      </c>
      <c r="L87" s="18">
        <v>0.153</v>
      </c>
      <c r="M87" s="80">
        <f>1-(Table62[[#This Row],[NbP]]+Table62[[#This Row],[NbP2]])</f>
        <v>0.50589970501474923</v>
      </c>
    </row>
    <row r="88" spans="1:13" ht="20">
      <c r="A88" s="78" t="s">
        <v>2114</v>
      </c>
      <c r="B88" s="78" t="s">
        <v>297</v>
      </c>
      <c r="C88" s="78">
        <v>14</v>
      </c>
      <c r="D88" s="78">
        <f>Table61[[#This Row],[2019]]/C205</f>
        <v>1.3647884577890426E-3</v>
      </c>
      <c r="F88" s="16" t="s">
        <v>2160</v>
      </c>
      <c r="G88" s="17">
        <v>4396</v>
      </c>
      <c r="H88" s="80">
        <f>Table62[[#This Row],[TRUMP VOTES]]/C205</f>
        <v>0.42854357574575941</v>
      </c>
      <c r="I88" s="18">
        <v>0.77600000000000002</v>
      </c>
      <c r="J88" s="17">
        <v>1205</v>
      </c>
      <c r="K88" s="80">
        <f>Table62[[#This Row],[BIDEN VOTES]]/C205</f>
        <v>0.11746929225969975</v>
      </c>
      <c r="L88" s="18">
        <v>0.21299999999999999</v>
      </c>
      <c r="M88" s="80">
        <f>1-(Table62[[#This Row],[NbP]]+Table62[[#This Row],[NbP2]])</f>
        <v>0.45398713199454088</v>
      </c>
    </row>
    <row r="89" spans="1:13" ht="20">
      <c r="A89" s="78" t="s">
        <v>880</v>
      </c>
      <c r="B89" s="78" t="s">
        <v>297</v>
      </c>
      <c r="C89" s="78">
        <v>92</v>
      </c>
      <c r="D89" s="78">
        <f>Table61[[#This Row],[2019]]/C206</f>
        <v>3.714320319754532E-3</v>
      </c>
      <c r="F89" s="16" t="s">
        <v>849</v>
      </c>
      <c r="G89" s="17">
        <v>8018</v>
      </c>
      <c r="H89" s="80">
        <f>Table62[[#This Row],[TRUMP VOTES]]/C206</f>
        <v>0.32371109047599822</v>
      </c>
      <c r="I89" s="18">
        <v>0.746</v>
      </c>
      <c r="J89" s="17">
        <v>2485</v>
      </c>
      <c r="K89" s="80">
        <f>Table62[[#This Row],[BIDEN VOTES]]/C206</f>
        <v>0.10032702168032621</v>
      </c>
      <c r="L89" s="18">
        <v>0.23100000000000001</v>
      </c>
      <c r="M89" s="80">
        <f>1-(Table62[[#This Row],[NbP]]+Table62[[#This Row],[NbP2]])</f>
        <v>0.57596188784367564</v>
      </c>
    </row>
    <row r="90" spans="1:13" ht="20">
      <c r="A90" s="78" t="s">
        <v>2115</v>
      </c>
      <c r="B90" s="78" t="s">
        <v>297</v>
      </c>
      <c r="C90" s="78">
        <v>9</v>
      </c>
      <c r="D90" s="78">
        <f>Table61[[#This Row],[2019]]/C207</f>
        <v>3.9301310043668122E-4</v>
      </c>
      <c r="F90" s="16" t="s">
        <v>2161</v>
      </c>
      <c r="G90" s="17">
        <v>8345</v>
      </c>
      <c r="H90" s="80">
        <f>Table62[[#This Row],[TRUMP VOTES]]/C207</f>
        <v>0.36441048034934498</v>
      </c>
      <c r="I90" s="18">
        <v>0.71599999999999997</v>
      </c>
      <c r="J90" s="17">
        <v>3109</v>
      </c>
      <c r="K90" s="80">
        <f>Table62[[#This Row],[BIDEN VOTES]]/C207</f>
        <v>0.135764192139738</v>
      </c>
      <c r="L90" s="18">
        <v>0.26700000000000002</v>
      </c>
      <c r="M90" s="80">
        <f>1-(Table62[[#This Row],[NbP]]+Table62[[#This Row],[NbP2]])</f>
        <v>0.49982532751091702</v>
      </c>
    </row>
    <row r="91" spans="1:13" ht="20">
      <c r="A91" s="78" t="s">
        <v>2116</v>
      </c>
      <c r="B91" s="78" t="s">
        <v>297</v>
      </c>
      <c r="C91" s="78">
        <v>18</v>
      </c>
      <c r="D91" s="78">
        <f>Table61[[#This Row],[2019]]/C208</f>
        <v>2.8689831048772712E-3</v>
      </c>
      <c r="F91" s="16" t="s">
        <v>2162</v>
      </c>
      <c r="G91" s="17">
        <v>2733</v>
      </c>
      <c r="H91" s="80">
        <f>Table62[[#This Row],[TRUMP VOTES]]/C208</f>
        <v>0.43560726809053235</v>
      </c>
      <c r="I91" s="18">
        <v>0.82899999999999996</v>
      </c>
      <c r="J91" s="19">
        <v>529</v>
      </c>
      <c r="K91" s="80">
        <f>Table62[[#This Row],[BIDEN VOTES]]/C208</f>
        <v>8.431622569333759E-2</v>
      </c>
      <c r="L91" s="18">
        <v>0.16</v>
      </c>
      <c r="M91" s="80">
        <f>1-(Table62[[#This Row],[NbP]]+Table62[[#This Row],[NbP2]])</f>
        <v>0.48007650621613007</v>
      </c>
    </row>
    <row r="92" spans="1:13" ht="20">
      <c r="A92" s="78" t="s">
        <v>1437</v>
      </c>
      <c r="B92" s="78" t="s">
        <v>297</v>
      </c>
      <c r="C92" s="78">
        <v>30</v>
      </c>
      <c r="D92" s="78">
        <f>Table61[[#This Row],[2019]]/C209</f>
        <v>2.2248590922574903E-3</v>
      </c>
      <c r="F92" s="16" t="s">
        <v>1474</v>
      </c>
      <c r="G92" s="17">
        <v>4839</v>
      </c>
      <c r="H92" s="80">
        <f>Table62[[#This Row],[TRUMP VOTES]]/C209</f>
        <v>0.3588697715811332</v>
      </c>
      <c r="I92" s="18">
        <v>0.84599999999999997</v>
      </c>
      <c r="J92" s="19">
        <v>833</v>
      </c>
      <c r="K92" s="80">
        <f>Table62[[#This Row],[BIDEN VOTES]]/C209</f>
        <v>6.1776920795016316E-2</v>
      </c>
      <c r="L92" s="18">
        <v>0.14599999999999999</v>
      </c>
      <c r="M92" s="80">
        <f>1-(Table62[[#This Row],[NbP]]+Table62[[#This Row],[NbP2]])</f>
        <v>0.57935330762385051</v>
      </c>
    </row>
    <row r="93" spans="1:13" ht="20">
      <c r="A93" s="78" t="s">
        <v>2117</v>
      </c>
      <c r="B93" s="78" t="s">
        <v>297</v>
      </c>
      <c r="C93" s="78">
        <v>28</v>
      </c>
      <c r="D93" s="78">
        <f>Table61[[#This Row],[2019]]/C210</f>
        <v>1.221001221001221E-3</v>
      </c>
      <c r="F93" s="16" t="s">
        <v>1410</v>
      </c>
      <c r="G93" s="17">
        <v>6451</v>
      </c>
      <c r="H93" s="80">
        <f>Table62[[#This Row],[TRUMP VOTES]]/C210</f>
        <v>0.28130995988138846</v>
      </c>
      <c r="I93" s="18">
        <v>0.67800000000000005</v>
      </c>
      <c r="J93" s="17">
        <v>2904</v>
      </c>
      <c r="K93" s="80">
        <f>Table62[[#This Row],[BIDEN VOTES]]/C210</f>
        <v>0.12663526949241236</v>
      </c>
      <c r="L93" s="18">
        <v>0.30499999999999999</v>
      </c>
      <c r="M93" s="80">
        <f>1-(Table62[[#This Row],[NbP]]+Table62[[#This Row],[NbP2]])</f>
        <v>0.59205477062619916</v>
      </c>
    </row>
    <row r="94" spans="1:13" ht="20">
      <c r="A94" s="78" t="s">
        <v>2118</v>
      </c>
      <c r="B94" s="78" t="s">
        <v>297</v>
      </c>
      <c r="C94" s="78">
        <v>10</v>
      </c>
      <c r="D94" s="78">
        <f>Table61[[#This Row],[2019]]/C211</f>
        <v>2.1978021978021978E-3</v>
      </c>
      <c r="F94" s="16" t="s">
        <v>1411</v>
      </c>
      <c r="G94" s="17">
        <v>1606</v>
      </c>
      <c r="H94" s="80">
        <f>Table62[[#This Row],[TRUMP VOTES]]/C211</f>
        <v>0.35296703296703297</v>
      </c>
      <c r="I94" s="18">
        <v>0.80200000000000005</v>
      </c>
      <c r="J94" s="19">
        <v>373</v>
      </c>
      <c r="K94" s="80">
        <f>Table62[[#This Row],[BIDEN VOTES]]/C211</f>
        <v>8.1978021978021981E-2</v>
      </c>
      <c r="L94" s="18">
        <v>0.186</v>
      </c>
      <c r="M94" s="80">
        <f>1-(Table62[[#This Row],[NbP]]+Table62[[#This Row],[NbP2]])</f>
        <v>0.56505494505494502</v>
      </c>
    </row>
    <row r="95" spans="1:13" ht="20">
      <c r="A95" s="78" t="s">
        <v>2119</v>
      </c>
      <c r="B95" s="78" t="s">
        <v>297</v>
      </c>
      <c r="C95" s="78">
        <v>4</v>
      </c>
      <c r="D95" s="78">
        <f>Table61[[#This Row],[2019]]/C212</f>
        <v>8.1251269551086737E-4</v>
      </c>
      <c r="F95" s="16" t="s">
        <v>2165</v>
      </c>
      <c r="G95" s="17">
        <v>1560</v>
      </c>
      <c r="H95" s="80">
        <f>Table62[[#This Row],[TRUMP VOTES]]/C212</f>
        <v>0.31687995124923829</v>
      </c>
      <c r="I95" s="18">
        <v>0.78600000000000003</v>
      </c>
      <c r="J95" s="19">
        <v>388</v>
      </c>
      <c r="K95" s="80">
        <f>Table62[[#This Row],[BIDEN VOTES]]/C212</f>
        <v>7.8813731464554129E-2</v>
      </c>
      <c r="L95" s="18">
        <v>0.19600000000000001</v>
      </c>
      <c r="M95" s="80">
        <f>1-(Table62[[#This Row],[NbP]]+Table62[[#This Row],[NbP2]])</f>
        <v>0.60430631728620754</v>
      </c>
    </row>
    <row r="96" spans="1:13" ht="20">
      <c r="A96" s="78" t="s">
        <v>146</v>
      </c>
      <c r="B96" s="78" t="s">
        <v>297</v>
      </c>
      <c r="C96" s="78">
        <v>73</v>
      </c>
      <c r="D96" s="78">
        <f>Table61[[#This Row],[2019]]/C213</f>
        <v>1.8942342622865743E-3</v>
      </c>
      <c r="F96" s="16" t="s">
        <v>245</v>
      </c>
      <c r="G96" s="17">
        <v>13769</v>
      </c>
      <c r="H96" s="80">
        <f>Table62[[#This Row],[TRUMP VOTES]]/C213</f>
        <v>0.35728371996471014</v>
      </c>
      <c r="I96" s="18">
        <v>0.77700000000000002</v>
      </c>
      <c r="J96" s="17">
        <v>3753</v>
      </c>
      <c r="K96" s="80">
        <f>Table62[[#This Row],[BIDEN VOTES]]/C213</f>
        <v>9.7384399813171416E-2</v>
      </c>
      <c r="L96" s="18">
        <v>0.21199999999999999</v>
      </c>
      <c r="M96" s="80">
        <f>1-(Table62[[#This Row],[NbP]]+Table62[[#This Row],[NbP2]])</f>
        <v>0.54533188022211843</v>
      </c>
    </row>
    <row r="97" spans="1:13" ht="20">
      <c r="A97" s="78" t="s">
        <v>2120</v>
      </c>
      <c r="B97" s="78" t="s">
        <v>297</v>
      </c>
      <c r="C97" s="78">
        <v>15</v>
      </c>
      <c r="D97" s="78">
        <f>Table61[[#This Row],[2019]]/C214</f>
        <v>1.8277080541001583E-3</v>
      </c>
      <c r="F97" s="16" t="s">
        <v>2166</v>
      </c>
      <c r="G97" s="17">
        <v>3165</v>
      </c>
      <c r="H97" s="80">
        <f>Table62[[#This Row],[TRUMP VOTES]]/C214</f>
        <v>0.3856463994151334</v>
      </c>
      <c r="I97" s="18">
        <v>0.81</v>
      </c>
      <c r="J97" s="19">
        <v>706</v>
      </c>
      <c r="K97" s="80">
        <f>Table62[[#This Row],[BIDEN VOTES]]/C214</f>
        <v>8.6024125746314128E-2</v>
      </c>
      <c r="L97" s="18">
        <v>0.18099999999999999</v>
      </c>
      <c r="M97" s="80">
        <f>1-(Table62[[#This Row],[NbP]]+Table62[[#This Row],[NbP2]])</f>
        <v>0.52832947483855253</v>
      </c>
    </row>
    <row r="98" spans="1:13" ht="20">
      <c r="A98" s="78" t="s">
        <v>149</v>
      </c>
      <c r="B98" s="78" t="s">
        <v>297</v>
      </c>
      <c r="C98" s="78">
        <v>18</v>
      </c>
      <c r="D98" s="78">
        <f>Table61[[#This Row],[2019]]/C215</f>
        <v>3.0125523012552303E-3</v>
      </c>
      <c r="F98" s="16" t="s">
        <v>264</v>
      </c>
      <c r="G98" s="17">
        <v>2700</v>
      </c>
      <c r="H98" s="80">
        <f>Table62[[#This Row],[TRUMP VOTES]]/C215</f>
        <v>0.45188284518828453</v>
      </c>
      <c r="I98" s="18">
        <v>0.80600000000000005</v>
      </c>
      <c r="J98" s="19">
        <v>592</v>
      </c>
      <c r="K98" s="80">
        <f>Table62[[#This Row],[BIDEN VOTES]]/C215</f>
        <v>9.9079497907949787E-2</v>
      </c>
      <c r="L98" s="18">
        <v>0.17699999999999999</v>
      </c>
      <c r="M98" s="80">
        <f>1-(Table62[[#This Row],[NbP]]+Table62[[#This Row],[NbP2]])</f>
        <v>0.44903765690376574</v>
      </c>
    </row>
    <row r="99" spans="1:13" ht="20">
      <c r="A99" s="78" t="s">
        <v>2121</v>
      </c>
      <c r="B99" s="78" t="s">
        <v>297</v>
      </c>
      <c r="C99" s="78">
        <v>112</v>
      </c>
      <c r="D99" s="78">
        <f>Table61[[#This Row],[2019]]/C216</f>
        <v>2.8107370153988235E-4</v>
      </c>
      <c r="F99" s="16" t="s">
        <v>2172</v>
      </c>
      <c r="G99" s="17">
        <v>128389</v>
      </c>
      <c r="H99" s="80">
        <f>Table62[[#This Row],[TRUMP VOTES]]/C216</f>
        <v>0.32220331666967816</v>
      </c>
      <c r="I99" s="18">
        <v>0.57799999999999996</v>
      </c>
      <c r="J99" s="17">
        <v>89530</v>
      </c>
      <c r="K99" s="80">
        <f>Table62[[#This Row],[BIDEN VOTES]]/C216</f>
        <v>0.22468329016844346</v>
      </c>
      <c r="L99" s="18">
        <v>0.40300000000000002</v>
      </c>
      <c r="M99" s="80">
        <f>1-(Table62[[#This Row],[NbP]]+Table62[[#This Row],[NbP2]])</f>
        <v>0.45311339316187838</v>
      </c>
    </row>
    <row r="100" spans="1:13" ht="20">
      <c r="A100" s="78" t="s">
        <v>915</v>
      </c>
      <c r="B100" s="78" t="s">
        <v>297</v>
      </c>
      <c r="C100" s="78">
        <v>12</v>
      </c>
      <c r="D100" s="78">
        <f>Table61[[#This Row],[2019]]/C217</f>
        <v>1.269169751454257E-3</v>
      </c>
      <c r="F100" s="16" t="s">
        <v>947</v>
      </c>
      <c r="G100" s="17">
        <v>3932</v>
      </c>
      <c r="H100" s="80">
        <f>Table62[[#This Row],[TRUMP VOTES]]/C217</f>
        <v>0.41586462189317819</v>
      </c>
      <c r="I100" s="18">
        <v>0.79100000000000004</v>
      </c>
      <c r="J100" s="19">
        <v>988</v>
      </c>
      <c r="K100" s="80">
        <f>Table62[[#This Row],[BIDEN VOTES]]/C217</f>
        <v>0.10449497620306716</v>
      </c>
      <c r="L100" s="18">
        <v>0.19900000000000001</v>
      </c>
      <c r="M100" s="80">
        <f>1-(Table62[[#This Row],[NbP]]+Table62[[#This Row],[NbP2]])</f>
        <v>0.47964040190375468</v>
      </c>
    </row>
    <row r="101" spans="1:13" ht="20">
      <c r="A101" s="78" t="s">
        <v>2122</v>
      </c>
      <c r="B101" s="78" t="s">
        <v>297</v>
      </c>
      <c r="C101" s="78">
        <v>160</v>
      </c>
      <c r="D101" s="78">
        <f>Table61[[#This Row],[2019]]/C218</f>
        <v>2.4004921008806807E-3</v>
      </c>
      <c r="F101" s="16" t="s">
        <v>2163</v>
      </c>
      <c r="G101" s="17">
        <v>20511</v>
      </c>
      <c r="H101" s="80">
        <f>Table62[[#This Row],[TRUMP VOTES]]/C218</f>
        <v>0.30772808425727272</v>
      </c>
      <c r="I101" s="18">
        <v>0.73299999999999998</v>
      </c>
      <c r="J101" s="17">
        <v>7044</v>
      </c>
      <c r="K101" s="80">
        <f>Table62[[#This Row],[BIDEN VOTES]]/C218</f>
        <v>0.10568166474127196</v>
      </c>
      <c r="L101" s="18">
        <v>0.252</v>
      </c>
      <c r="M101" s="80">
        <f>1-(Table62[[#This Row],[NbP]]+Table62[[#This Row],[NbP2]])</f>
        <v>0.58659025100145534</v>
      </c>
    </row>
    <row r="102" spans="1:13" ht="20">
      <c r="A102" s="78" t="s">
        <v>1929</v>
      </c>
      <c r="B102" s="78" t="s">
        <v>297</v>
      </c>
      <c r="C102" s="78">
        <v>457</v>
      </c>
      <c r="D102" s="78">
        <f>Table61[[#This Row],[2019]]/C219</f>
        <v>1.4997916044488348E-3</v>
      </c>
      <c r="F102" s="16" t="s">
        <v>2171</v>
      </c>
      <c r="G102" s="17">
        <v>21474</v>
      </c>
      <c r="H102" s="80">
        <f>Table62[[#This Row],[TRUMP VOTES]]/C219</f>
        <v>7.0473796310578291E-2</v>
      </c>
      <c r="I102" s="18">
        <v>0.161</v>
      </c>
      <c r="J102" s="17">
        <v>110089</v>
      </c>
      <c r="K102" s="80">
        <f>Table62[[#This Row],[BIDEN VOTES]]/C219</f>
        <v>0.36129224932640652</v>
      </c>
      <c r="L102" s="18">
        <v>0.82299999999999995</v>
      </c>
      <c r="M102" s="80">
        <f>1-(Table62[[#This Row],[NbP]]+Table62[[#This Row],[NbP2]])</f>
        <v>0.56823395436301516</v>
      </c>
    </row>
    <row r="103" spans="1:13" ht="20">
      <c r="A103" s="78" t="s">
        <v>2123</v>
      </c>
      <c r="B103" s="78" t="s">
        <v>297</v>
      </c>
      <c r="C103" s="78">
        <v>296</v>
      </c>
      <c r="D103" s="78">
        <f>Table61[[#This Row],[2019]]/C220</f>
        <v>2.9713535418835369E-4</v>
      </c>
      <c r="F103" s="16" t="s">
        <v>1992</v>
      </c>
      <c r="G103" s="17">
        <v>199493</v>
      </c>
      <c r="H103" s="80">
        <f>Table62[[#This Row],[TRUMP VOTES]]/C220</f>
        <v>0.20025818653073393</v>
      </c>
      <c r="I103" s="18">
        <v>0.372</v>
      </c>
      <c r="J103" s="17">
        <v>328151</v>
      </c>
      <c r="K103" s="80">
        <f>Table62[[#This Row],[BIDEN VOTES]]/C220</f>
        <v>0.32940967436575153</v>
      </c>
      <c r="L103" s="18">
        <v>0.61199999999999999</v>
      </c>
      <c r="M103" s="80">
        <f>1-(Table62[[#This Row],[NbP]]+Table62[[#This Row],[NbP2]])</f>
        <v>0.47033213910351457</v>
      </c>
    </row>
    <row r="104" spans="1:13" ht="20">
      <c r="A104" s="78" t="s">
        <v>2124</v>
      </c>
      <c r="B104" s="78" t="s">
        <v>297</v>
      </c>
      <c r="C104" s="78">
        <v>22</v>
      </c>
      <c r="D104" s="78">
        <f>Table61[[#This Row],[2019]]/C221</f>
        <v>1.2299435344104658E-3</v>
      </c>
      <c r="F104" s="16" t="s">
        <v>2164</v>
      </c>
      <c r="G104" s="17">
        <v>6630</v>
      </c>
      <c r="H104" s="80">
        <f>Table62[[#This Row],[TRUMP VOTES]]/C221</f>
        <v>0.37066025605188124</v>
      </c>
      <c r="I104" s="18">
        <v>0.69899999999999995</v>
      </c>
      <c r="J104" s="17">
        <v>2713</v>
      </c>
      <c r="K104" s="80">
        <f>Table62[[#This Row],[BIDEN VOTES]]/C221</f>
        <v>0.15167440040252697</v>
      </c>
      <c r="L104" s="18">
        <v>0.28599999999999998</v>
      </c>
      <c r="M104" s="80">
        <f>1-(Table62[[#This Row],[NbP]]+Table62[[#This Row],[NbP2]])</f>
        <v>0.47766534354559176</v>
      </c>
    </row>
    <row r="105" spans="1:13" ht="20">
      <c r="A105" s="78" t="s">
        <v>2125</v>
      </c>
      <c r="B105" s="78" t="s">
        <v>297</v>
      </c>
      <c r="C105" s="78">
        <v>162</v>
      </c>
      <c r="D105" s="78">
        <f>Table61[[#This Row],[2019]]/C222</f>
        <v>5.5375149547085972E-3</v>
      </c>
      <c r="F105" s="16" t="s">
        <v>2167</v>
      </c>
      <c r="G105" s="17">
        <v>11484</v>
      </c>
      <c r="H105" s="80">
        <f>Table62[[#This Row],[TRUMP VOTES]]/C222</f>
        <v>0.3925482823448983</v>
      </c>
      <c r="I105" s="18">
        <v>0.85499999999999998</v>
      </c>
      <c r="J105" s="17">
        <v>1819</v>
      </c>
      <c r="K105" s="80">
        <f>Table62[[#This Row],[BIDEN VOTES]]/C222</f>
        <v>6.2177405571697146E-2</v>
      </c>
      <c r="L105" s="18">
        <v>0.13500000000000001</v>
      </c>
      <c r="M105" s="80">
        <f>1-(Table62[[#This Row],[NbP]]+Table62[[#This Row],[NbP2]])</f>
        <v>0.54527431208340449</v>
      </c>
    </row>
    <row r="106" spans="1:13" ht="20">
      <c r="A106" s="78" t="s">
        <v>2036</v>
      </c>
      <c r="B106" s="78" t="s">
        <v>297</v>
      </c>
      <c r="C106" s="78">
        <v>33</v>
      </c>
      <c r="D106" s="78">
        <f>Table61[[#This Row],[2019]]/C223</f>
        <v>1.0352941176470587E-3</v>
      </c>
      <c r="F106" s="16" t="s">
        <v>2074</v>
      </c>
      <c r="G106" s="17">
        <v>14800</v>
      </c>
      <c r="H106" s="80">
        <f>Table62[[#This Row],[TRUMP VOTES]]/C223</f>
        <v>0.46431372549019606</v>
      </c>
      <c r="I106" s="18">
        <v>0.80100000000000005</v>
      </c>
      <c r="J106" s="17">
        <v>3506</v>
      </c>
      <c r="K106" s="80">
        <f>Table62[[#This Row],[BIDEN VOTES]]/C223</f>
        <v>0.10999215686274509</v>
      </c>
      <c r="L106" s="18">
        <v>0.19</v>
      </c>
      <c r="M106" s="80">
        <f>1-(Table62[[#This Row],[NbP]]+Table62[[#This Row],[NbP2]])</f>
        <v>0.42569411764705889</v>
      </c>
    </row>
    <row r="107" spans="1:13" ht="20">
      <c r="A107" s="78" t="s">
        <v>152</v>
      </c>
      <c r="B107" s="78" t="s">
        <v>297</v>
      </c>
      <c r="C107" s="78">
        <v>14</v>
      </c>
      <c r="D107" s="78">
        <f>Table61[[#This Row],[2019]]/C224</f>
        <v>2.2716209638163234E-3</v>
      </c>
      <c r="F107" s="16" t="s">
        <v>250</v>
      </c>
      <c r="G107" s="17">
        <v>1974</v>
      </c>
      <c r="H107" s="80">
        <f>Table62[[#This Row],[TRUMP VOTES]]/C224</f>
        <v>0.32029855589810158</v>
      </c>
      <c r="I107" s="18">
        <v>0.79900000000000004</v>
      </c>
      <c r="J107" s="19">
        <v>478</v>
      </c>
      <c r="K107" s="80">
        <f>Table62[[#This Row],[BIDEN VOTES]]/C224</f>
        <v>7.7559630050300185E-2</v>
      </c>
      <c r="L107" s="18">
        <v>0.193</v>
      </c>
      <c r="M107" s="80">
        <f>1-(Table62[[#This Row],[NbP]]+Table62[[#This Row],[NbP2]])</f>
        <v>0.60214181405159817</v>
      </c>
    </row>
    <row r="108" spans="1:13" ht="20">
      <c r="A108" s="78" t="s">
        <v>2126</v>
      </c>
      <c r="B108" s="78" t="s">
        <v>297</v>
      </c>
      <c r="C108" s="78">
        <v>148</v>
      </c>
      <c r="D108" s="78">
        <f>Table61[[#This Row],[2019]]/C225</f>
        <v>2.6636430718283751E-3</v>
      </c>
      <c r="F108" s="16" t="s">
        <v>2168</v>
      </c>
      <c r="G108" s="17">
        <v>20508</v>
      </c>
      <c r="H108" s="80">
        <f>Table62[[#This Row],[TRUMP VOTES]]/C225</f>
        <v>0.36909454133146158</v>
      </c>
      <c r="I108" s="18">
        <v>0.78100000000000003</v>
      </c>
      <c r="J108" s="17">
        <v>5339</v>
      </c>
      <c r="K108" s="80">
        <f>Table62[[#This Row],[BIDEN VOTES]]/C225</f>
        <v>9.608912405737631E-2</v>
      </c>
      <c r="L108" s="18">
        <v>0.20300000000000001</v>
      </c>
      <c r="M108" s="80">
        <f>1-(Table62[[#This Row],[NbP]]+Table62[[#This Row],[NbP2]])</f>
        <v>0.53481633461116207</v>
      </c>
    </row>
    <row r="109" spans="1:13" ht="20">
      <c r="A109" s="78" t="s">
        <v>3</v>
      </c>
      <c r="B109" s="78" t="s">
        <v>297</v>
      </c>
      <c r="C109" s="78">
        <v>34</v>
      </c>
      <c r="D109" s="78">
        <f>Table61[[#This Row],[2019]]/C226</f>
        <v>1.3323928207539775E-3</v>
      </c>
      <c r="F109" s="16" t="s">
        <v>2169</v>
      </c>
      <c r="G109" s="17">
        <v>9478</v>
      </c>
      <c r="H109" s="80">
        <f>Table62[[#This Row],[TRUMP VOTES]]/C226</f>
        <v>0.37142409279724115</v>
      </c>
      <c r="I109" s="18">
        <v>0.83799999999999997</v>
      </c>
      <c r="J109" s="17">
        <v>1716</v>
      </c>
      <c r="K109" s="80">
        <f>Table62[[#This Row],[BIDEN VOTES]]/C226</f>
        <v>6.7246649423936045E-2</v>
      </c>
      <c r="L109" s="18">
        <v>0.152</v>
      </c>
      <c r="M109" s="80">
        <f>1-(Table62[[#This Row],[NbP]]+Table62[[#This Row],[NbP2]])</f>
        <v>0.56132925777882281</v>
      </c>
    </row>
    <row r="110" spans="1:13" ht="20">
      <c r="A110" s="78" t="s">
        <v>2127</v>
      </c>
      <c r="B110" s="78" t="s">
        <v>297</v>
      </c>
      <c r="C110" s="78">
        <v>15</v>
      </c>
      <c r="D110" s="78">
        <f>Table61[[#This Row],[2019]]/C227</f>
        <v>7.2957198443579768E-4</v>
      </c>
      <c r="F110" s="16" t="s">
        <v>2170</v>
      </c>
      <c r="G110" s="17">
        <v>7155</v>
      </c>
      <c r="H110" s="80">
        <f>Table62[[#This Row],[TRUMP VOTES]]/C227</f>
        <v>0.34800583657587547</v>
      </c>
      <c r="I110" s="18">
        <v>0.77900000000000003</v>
      </c>
      <c r="J110" s="17">
        <v>1903</v>
      </c>
      <c r="K110" s="80">
        <f>Table62[[#This Row],[BIDEN VOTES]]/C227</f>
        <v>9.2558365758754868E-2</v>
      </c>
      <c r="L110" s="18">
        <v>0.20699999999999999</v>
      </c>
      <c r="M110" s="80">
        <f>1-(Table62[[#This Row],[NbP]]+Table62[[#This Row],[NbP2]])</f>
        <v>0.55943579766536966</v>
      </c>
    </row>
    <row r="111" spans="1:13" ht="20">
      <c r="A111" s="78" t="s">
        <v>159</v>
      </c>
      <c r="B111" s="78" t="s">
        <v>297</v>
      </c>
      <c r="C111" s="78">
        <v>33</v>
      </c>
      <c r="D111" s="78">
        <f>Table61[[#This Row],[2019]]/C228</f>
        <v>9.4043887147335424E-4</v>
      </c>
      <c r="F111" s="16" t="s">
        <v>257</v>
      </c>
      <c r="G111" s="17">
        <v>13222</v>
      </c>
      <c r="H111" s="80">
        <f>Table62[[#This Row],[TRUMP VOTES]]/C228</f>
        <v>0.3768025078369906</v>
      </c>
      <c r="I111" s="18">
        <v>0.72</v>
      </c>
      <c r="J111" s="17">
        <v>4769</v>
      </c>
      <c r="K111" s="80">
        <f>Table62[[#This Row],[BIDEN VOTES]]/C228</f>
        <v>0.13590766600170989</v>
      </c>
      <c r="L111" s="18">
        <v>0.26</v>
      </c>
      <c r="M111" s="80">
        <f>1-(Table62[[#This Row],[NbP]]+Table62[[#This Row],[NbP2]])</f>
        <v>0.48728982616129946</v>
      </c>
    </row>
    <row r="112" spans="1:13" ht="20">
      <c r="A112" s="78" t="s">
        <v>38</v>
      </c>
      <c r="B112" s="78" t="s">
        <v>297</v>
      </c>
      <c r="C112" s="78">
        <v>51</v>
      </c>
      <c r="D112" s="78">
        <f>Table61[[#This Row],[2019]]/C229</f>
        <v>2.0548773117369757E-3</v>
      </c>
      <c r="F112" s="16" t="s">
        <v>258</v>
      </c>
      <c r="G112" s="17">
        <v>8047</v>
      </c>
      <c r="H112" s="80">
        <f>Table62[[#This Row],[TRUMP VOTES]]/C229</f>
        <v>0.32422740642249887</v>
      </c>
      <c r="I112" s="18">
        <v>0.80700000000000005</v>
      </c>
      <c r="J112" s="17">
        <v>1804</v>
      </c>
      <c r="K112" s="80">
        <f>Table62[[#This Row],[BIDEN VOTES]]/C229</f>
        <v>7.2686248438696158E-2</v>
      </c>
      <c r="L112" s="18">
        <v>0.18099999999999999</v>
      </c>
      <c r="M112" s="80">
        <f>1-(Table62[[#This Row],[NbP]]+Table62[[#This Row],[NbP2]])</f>
        <v>0.60308634513880499</v>
      </c>
    </row>
    <row r="113" spans="1:13" ht="20">
      <c r="A113" s="78" t="s">
        <v>160</v>
      </c>
      <c r="B113" s="78" t="s">
        <v>297</v>
      </c>
      <c r="C113" s="78">
        <v>42</v>
      </c>
      <c r="D113" s="78">
        <f>Table61[[#This Row],[2019]]/C230</f>
        <v>3.2164190534538215E-3</v>
      </c>
      <c r="F113" s="16" t="s">
        <v>259</v>
      </c>
      <c r="G113" s="17">
        <v>4987</v>
      </c>
      <c r="H113" s="80">
        <f>Table62[[#This Row],[TRUMP VOTES]]/C230</f>
        <v>0.38191147189462399</v>
      </c>
      <c r="I113" s="18">
        <v>0.84799999999999998</v>
      </c>
      <c r="J113" s="19">
        <v>845</v>
      </c>
      <c r="K113" s="80">
        <f>Table62[[#This Row],[BIDEN VOTES]]/C230</f>
        <v>6.4711288099249503E-2</v>
      </c>
      <c r="L113" s="18">
        <v>0.14399999999999999</v>
      </c>
      <c r="M113" s="80">
        <f>1-(Table62[[#This Row],[NbP]]+Table62[[#This Row],[NbP2]])</f>
        <v>0.55337724000612654</v>
      </c>
    </row>
    <row r="114" spans="1:13" ht="20">
      <c r="A114" s="78" t="s">
        <v>884</v>
      </c>
      <c r="B114" s="78" t="s">
        <v>297</v>
      </c>
      <c r="C114" s="78">
        <v>57</v>
      </c>
      <c r="D114" s="78">
        <f>Table61[[#This Row],[2019]]/C231</f>
        <v>1.4567945408541416E-3</v>
      </c>
      <c r="F114" s="16" t="s">
        <v>853</v>
      </c>
      <c r="G114" s="17">
        <v>14880</v>
      </c>
      <c r="H114" s="80">
        <f>Table62[[#This Row],[TRUMP VOTES]]/C231</f>
        <v>0.38030004855981803</v>
      </c>
      <c r="I114" s="18">
        <v>0.79200000000000004</v>
      </c>
      <c r="J114" s="17">
        <v>3573</v>
      </c>
      <c r="K114" s="80">
        <f>Table62[[#This Row],[BIDEN VOTES]]/C231</f>
        <v>9.1318015692488569E-2</v>
      </c>
      <c r="L114" s="18">
        <v>0.19</v>
      </c>
      <c r="M114" s="80">
        <f>1-(Table62[[#This Row],[NbP]]+Table62[[#This Row],[NbP2]])</f>
        <v>0.52838193574769343</v>
      </c>
    </row>
    <row r="115" spans="1:13" ht="20">
      <c r="A115" s="78" t="s">
        <v>1304</v>
      </c>
      <c r="B115" s="78" t="s">
        <v>297</v>
      </c>
      <c r="C115" s="78">
        <v>2</v>
      </c>
      <c r="D115" s="78">
        <f>Table61[[#This Row],[2019]]/C232</f>
        <v>9.9950024987506244E-4</v>
      </c>
      <c r="F115" s="16" t="s">
        <v>1397</v>
      </c>
      <c r="G115" s="19">
        <v>877</v>
      </c>
      <c r="H115" s="80">
        <f>Table62[[#This Row],[TRUMP VOTES]]/C232</f>
        <v>0.4382808595702149</v>
      </c>
      <c r="I115" s="18">
        <v>0.79200000000000004</v>
      </c>
      <c r="J115" s="19">
        <v>215</v>
      </c>
      <c r="K115" s="80">
        <f>Table62[[#This Row],[BIDEN VOTES]]/C232</f>
        <v>0.10744627686156921</v>
      </c>
      <c r="L115" s="18">
        <v>0.19400000000000001</v>
      </c>
      <c r="M115" s="80">
        <f>1-(Table62[[#This Row],[NbP]]+Table62[[#This Row],[NbP2]])</f>
        <v>0.45427286356821583</v>
      </c>
    </row>
    <row r="116" spans="1:13" ht="20">
      <c r="A116" s="78" t="s">
        <v>1530</v>
      </c>
      <c r="B116" s="78" t="s">
        <v>297</v>
      </c>
      <c r="C116" s="78">
        <v>80</v>
      </c>
      <c r="D116" s="78">
        <f>Table61[[#This Row],[2019]]/C233</f>
        <v>4.3821209465381246E-3</v>
      </c>
      <c r="F116" s="16" t="s">
        <v>1573</v>
      </c>
      <c r="G116" s="17">
        <v>7453</v>
      </c>
      <c r="H116" s="80">
        <f>Table62[[#This Row],[TRUMP VOTES]]/C233</f>
        <v>0.40824934268185803</v>
      </c>
      <c r="I116" s="18">
        <v>0.85299999999999998</v>
      </c>
      <c r="J116" s="17">
        <v>1168</v>
      </c>
      <c r="K116" s="80">
        <f>Table62[[#This Row],[BIDEN VOTES]]/C233</f>
        <v>6.3978965819456612E-2</v>
      </c>
      <c r="L116" s="18">
        <v>0.13400000000000001</v>
      </c>
      <c r="M116" s="80">
        <f>1-(Table62[[#This Row],[NbP]]+Table62[[#This Row],[NbP2]])</f>
        <v>0.52777169149868541</v>
      </c>
    </row>
    <row r="118" spans="1:13" ht="21">
      <c r="A118" s="77" t="s">
        <v>1670</v>
      </c>
      <c r="B118" s="77" t="s">
        <v>69</v>
      </c>
      <c r="C118" s="77" t="s">
        <v>54</v>
      </c>
    </row>
    <row r="119" spans="1:13" ht="21">
      <c r="A119" s="52">
        <v>42</v>
      </c>
      <c r="B119" s="53" t="s">
        <v>1531</v>
      </c>
      <c r="C119" s="54">
        <v>25468</v>
      </c>
    </row>
    <row r="120" spans="1:13" ht="21">
      <c r="A120" s="52">
        <v>61</v>
      </c>
      <c r="B120" s="53" t="s">
        <v>2128</v>
      </c>
      <c r="C120" s="54">
        <v>17554</v>
      </c>
    </row>
    <row r="121" spans="1:13" ht="21">
      <c r="A121" s="52">
        <v>108</v>
      </c>
      <c r="B121" s="52" t="s">
        <v>2129</v>
      </c>
      <c r="C121" s="54">
        <v>5180</v>
      </c>
    </row>
    <row r="122" spans="1:13" ht="21">
      <c r="A122" s="52">
        <v>44</v>
      </c>
      <c r="B122" s="53" t="s">
        <v>2130</v>
      </c>
      <c r="C122" s="54">
        <v>25336</v>
      </c>
    </row>
    <row r="123" spans="1:13" ht="21">
      <c r="A123" s="52">
        <v>33</v>
      </c>
      <c r="B123" s="53" t="s">
        <v>1821</v>
      </c>
      <c r="C123" s="54">
        <v>35615</v>
      </c>
    </row>
    <row r="124" spans="1:13" ht="21">
      <c r="A124" s="52">
        <v>82</v>
      </c>
      <c r="B124" s="53" t="s">
        <v>2131</v>
      </c>
      <c r="C124" s="54">
        <v>11732</v>
      </c>
    </row>
    <row r="125" spans="1:13" ht="21">
      <c r="A125" s="52">
        <v>66</v>
      </c>
      <c r="B125" s="53" t="s">
        <v>2132</v>
      </c>
      <c r="C125" s="54">
        <v>16282</v>
      </c>
    </row>
    <row r="126" spans="1:13" ht="21">
      <c r="A126" s="52">
        <v>56</v>
      </c>
      <c r="B126" s="53" t="s">
        <v>172</v>
      </c>
      <c r="C126" s="54">
        <v>19305</v>
      </c>
    </row>
    <row r="127" spans="1:13" ht="21">
      <c r="A127" s="52">
        <v>78</v>
      </c>
      <c r="B127" s="53" t="s">
        <v>2133</v>
      </c>
      <c r="C127" s="54">
        <v>12181</v>
      </c>
    </row>
    <row r="128" spans="1:13" ht="21">
      <c r="A128" s="52">
        <v>8</v>
      </c>
      <c r="B128" s="53" t="s">
        <v>827</v>
      </c>
      <c r="C128" s="54">
        <v>179704</v>
      </c>
    </row>
    <row r="129" spans="1:3" ht="21">
      <c r="A129" s="52">
        <v>13</v>
      </c>
      <c r="B129" s="53" t="s">
        <v>1537</v>
      </c>
      <c r="C129" s="54">
        <v>87904</v>
      </c>
    </row>
    <row r="130" spans="1:3" ht="21">
      <c r="A130" s="52">
        <v>26</v>
      </c>
      <c r="B130" s="53" t="s">
        <v>926</v>
      </c>
      <c r="C130" s="54">
        <v>42570</v>
      </c>
    </row>
    <row r="131" spans="1:3" ht="21">
      <c r="A131" s="52">
        <v>93</v>
      </c>
      <c r="B131" s="53" t="s">
        <v>357</v>
      </c>
      <c r="C131" s="54">
        <v>9052</v>
      </c>
    </row>
    <row r="132" spans="1:3" ht="21">
      <c r="A132" s="52">
        <v>24</v>
      </c>
      <c r="B132" s="53" t="s">
        <v>2134</v>
      </c>
      <c r="C132" s="54">
        <v>44944</v>
      </c>
    </row>
    <row r="133" spans="1:3" ht="21">
      <c r="A133" s="52">
        <v>23</v>
      </c>
      <c r="B133" s="53" t="s">
        <v>788</v>
      </c>
      <c r="C133" s="54">
        <v>45823</v>
      </c>
    </row>
    <row r="134" spans="1:3" ht="21">
      <c r="A134" s="52">
        <v>15</v>
      </c>
      <c r="B134" s="53" t="s">
        <v>2135</v>
      </c>
      <c r="C134" s="54">
        <v>78834</v>
      </c>
    </row>
    <row r="135" spans="1:3" ht="21">
      <c r="A135" s="52">
        <v>95</v>
      </c>
      <c r="B135" s="53" t="s">
        <v>178</v>
      </c>
      <c r="C135" s="54">
        <v>8723</v>
      </c>
    </row>
    <row r="136" spans="1:3" ht="21">
      <c r="A136" s="52">
        <v>106</v>
      </c>
      <c r="B136" s="52" t="s">
        <v>179</v>
      </c>
      <c r="C136" s="54">
        <v>6085</v>
      </c>
    </row>
    <row r="137" spans="1:3" ht="21">
      <c r="A137" s="52">
        <v>10</v>
      </c>
      <c r="B137" s="53" t="s">
        <v>363</v>
      </c>
      <c r="C137" s="54">
        <v>104687</v>
      </c>
    </row>
    <row r="138" spans="1:3" ht="21">
      <c r="A138" s="52">
        <v>72</v>
      </c>
      <c r="B138" s="53" t="s">
        <v>1539</v>
      </c>
      <c r="C138" s="54">
        <v>14144</v>
      </c>
    </row>
    <row r="139" spans="1:3" ht="21">
      <c r="A139" s="52">
        <v>101</v>
      </c>
      <c r="B139" s="52" t="s">
        <v>2136</v>
      </c>
      <c r="C139" s="54">
        <v>7449</v>
      </c>
    </row>
    <row r="140" spans="1:3" ht="21">
      <c r="A140" s="52">
        <v>14</v>
      </c>
      <c r="B140" s="53" t="s">
        <v>1403</v>
      </c>
      <c r="C140" s="54">
        <v>87324</v>
      </c>
    </row>
    <row r="141" spans="1:3" ht="21">
      <c r="A141" s="52">
        <v>102</v>
      </c>
      <c r="B141" s="52" t="s">
        <v>1404</v>
      </c>
      <c r="C141" s="54">
        <v>6783</v>
      </c>
    </row>
    <row r="142" spans="1:3" ht="21">
      <c r="A142" s="52">
        <v>6</v>
      </c>
      <c r="B142" s="53" t="s">
        <v>183</v>
      </c>
      <c r="C142" s="54">
        <v>246480</v>
      </c>
    </row>
    <row r="143" spans="1:3" ht="21">
      <c r="A143" s="52">
        <v>54</v>
      </c>
      <c r="B143" s="53" t="s">
        <v>1405</v>
      </c>
      <c r="C143" s="54">
        <v>20503</v>
      </c>
    </row>
    <row r="144" spans="1:3" ht="21">
      <c r="A144" s="52">
        <v>16</v>
      </c>
      <c r="B144" s="53" t="s">
        <v>2137</v>
      </c>
      <c r="C144" s="54">
        <v>76630</v>
      </c>
    </row>
    <row r="145" spans="1:3" ht="21">
      <c r="A145" s="52">
        <v>62</v>
      </c>
      <c r="B145" s="53" t="s">
        <v>2138</v>
      </c>
      <c r="C145" s="54">
        <v>17522</v>
      </c>
    </row>
    <row r="146" spans="1:3" ht="21">
      <c r="A146" s="52">
        <v>47</v>
      </c>
      <c r="B146" s="53" t="s">
        <v>1331</v>
      </c>
      <c r="C146" s="54">
        <v>23984</v>
      </c>
    </row>
    <row r="147" spans="1:3" ht="21">
      <c r="A147" s="52">
        <v>100</v>
      </c>
      <c r="B147" s="53" t="s">
        <v>1333</v>
      </c>
      <c r="C147" s="54">
        <v>7571</v>
      </c>
    </row>
    <row r="148" spans="1:3" ht="21">
      <c r="A148" s="52">
        <v>64</v>
      </c>
      <c r="B148" s="53" t="s">
        <v>384</v>
      </c>
      <c r="C148" s="54">
        <v>16841</v>
      </c>
    </row>
    <row r="149" spans="1:3" ht="21">
      <c r="A149" s="52">
        <v>98</v>
      </c>
      <c r="B149" s="53" t="s">
        <v>1455</v>
      </c>
      <c r="C149" s="54">
        <v>8294</v>
      </c>
    </row>
    <row r="150" spans="1:3" ht="21">
      <c r="A150" s="52">
        <v>81</v>
      </c>
      <c r="B150" s="53" t="s">
        <v>190</v>
      </c>
      <c r="C150" s="54">
        <v>11872</v>
      </c>
    </row>
    <row r="151" spans="1:3" ht="21">
      <c r="A151" s="52">
        <v>68</v>
      </c>
      <c r="B151" s="53" t="s">
        <v>2139</v>
      </c>
      <c r="C151" s="54">
        <v>15518</v>
      </c>
    </row>
    <row r="152" spans="1:3" ht="21">
      <c r="A152" s="52">
        <v>75</v>
      </c>
      <c r="B152" s="53" t="s">
        <v>276</v>
      </c>
      <c r="C152" s="54">
        <v>13335</v>
      </c>
    </row>
    <row r="153" spans="1:3" ht="21">
      <c r="A153" s="52">
        <v>38</v>
      </c>
      <c r="B153" s="53" t="s">
        <v>2140</v>
      </c>
      <c r="C153" s="54">
        <v>29657</v>
      </c>
    </row>
    <row r="154" spans="1:3" ht="21">
      <c r="A154" s="52">
        <v>11</v>
      </c>
      <c r="B154" s="53" t="s">
        <v>195</v>
      </c>
      <c r="C154" s="54">
        <v>103629</v>
      </c>
    </row>
    <row r="155" spans="1:3" ht="21">
      <c r="A155" s="52">
        <v>71</v>
      </c>
      <c r="B155" s="53" t="s">
        <v>2141</v>
      </c>
      <c r="C155" s="54">
        <v>14673</v>
      </c>
    </row>
    <row r="156" spans="1:3" ht="21">
      <c r="A156" s="52">
        <v>103</v>
      </c>
      <c r="B156" s="52" t="s">
        <v>2142</v>
      </c>
      <c r="C156" s="54">
        <v>6576</v>
      </c>
    </row>
    <row r="157" spans="1:3" ht="21">
      <c r="A157" s="52">
        <v>5</v>
      </c>
      <c r="B157" s="53" t="s">
        <v>199</v>
      </c>
      <c r="C157" s="54">
        <v>291574</v>
      </c>
    </row>
    <row r="158" spans="1:3" ht="21">
      <c r="A158" s="52">
        <v>89</v>
      </c>
      <c r="B158" s="53" t="s">
        <v>200</v>
      </c>
      <c r="C158" s="54">
        <v>9885</v>
      </c>
    </row>
    <row r="159" spans="1:3" ht="21">
      <c r="A159" s="52">
        <v>97</v>
      </c>
      <c r="B159" s="53" t="s">
        <v>424</v>
      </c>
      <c r="C159" s="54">
        <v>8427</v>
      </c>
    </row>
    <row r="160" spans="1:3" ht="21">
      <c r="A160" s="52">
        <v>52</v>
      </c>
      <c r="B160" s="53" t="s">
        <v>209</v>
      </c>
      <c r="C160" s="54">
        <v>21854</v>
      </c>
    </row>
    <row r="161" spans="1:3" ht="21">
      <c r="A161" s="52">
        <v>91</v>
      </c>
      <c r="B161" s="53" t="s">
        <v>2143</v>
      </c>
      <c r="C161" s="54">
        <v>9452</v>
      </c>
    </row>
    <row r="162" spans="1:3" ht="21">
      <c r="A162" s="52">
        <v>112</v>
      </c>
      <c r="B162" s="52" t="s">
        <v>2144</v>
      </c>
      <c r="C162" s="54">
        <v>4374</v>
      </c>
    </row>
    <row r="163" spans="1:3" ht="21">
      <c r="A163" s="52">
        <v>87</v>
      </c>
      <c r="B163" s="53" t="s">
        <v>434</v>
      </c>
      <c r="C163" s="54">
        <v>10022</v>
      </c>
    </row>
    <row r="164" spans="1:3" ht="21">
      <c r="A164" s="52">
        <v>28</v>
      </c>
      <c r="B164" s="53" t="s">
        <v>2145</v>
      </c>
      <c r="C164" s="54">
        <v>40130</v>
      </c>
    </row>
    <row r="165" spans="1:3" ht="21">
      <c r="A165" s="52">
        <v>86</v>
      </c>
      <c r="B165" s="53" t="s">
        <v>1841</v>
      </c>
      <c r="C165" s="54">
        <v>10150</v>
      </c>
    </row>
    <row r="166" spans="1:3" ht="21">
      <c r="A166" s="52">
        <v>2</v>
      </c>
      <c r="B166" s="53" t="s">
        <v>213</v>
      </c>
      <c r="C166" s="54">
        <v>700733</v>
      </c>
    </row>
    <row r="167" spans="1:3" ht="21">
      <c r="A167" s="52">
        <v>9</v>
      </c>
      <c r="B167" s="53" t="s">
        <v>440</v>
      </c>
      <c r="C167" s="54">
        <v>120528</v>
      </c>
    </row>
    <row r="168" spans="1:3" ht="21">
      <c r="A168" s="52">
        <v>7</v>
      </c>
      <c r="B168" s="53" t="s">
        <v>214</v>
      </c>
      <c r="C168" s="54">
        <v>224777</v>
      </c>
    </row>
    <row r="169" spans="1:3" ht="21">
      <c r="A169" s="52">
        <v>21</v>
      </c>
      <c r="B169" s="53" t="s">
        <v>215</v>
      </c>
      <c r="C169" s="54">
        <v>53948</v>
      </c>
    </row>
    <row r="170" spans="1:3" ht="21">
      <c r="A170" s="52">
        <v>113</v>
      </c>
      <c r="B170" s="52" t="s">
        <v>216</v>
      </c>
      <c r="C170" s="54">
        <v>3948</v>
      </c>
    </row>
    <row r="171" spans="1:3" ht="21">
      <c r="A171" s="52">
        <v>32</v>
      </c>
      <c r="B171" s="53" t="s">
        <v>2146</v>
      </c>
      <c r="C171" s="54">
        <v>35680</v>
      </c>
    </row>
    <row r="172" spans="1:3" ht="21">
      <c r="A172" s="52">
        <v>35</v>
      </c>
      <c r="B172" s="53" t="s">
        <v>2063</v>
      </c>
      <c r="C172" s="54">
        <v>32697</v>
      </c>
    </row>
    <row r="173" spans="1:3" ht="21">
      <c r="A173" s="52">
        <v>31</v>
      </c>
      <c r="B173" s="53" t="s">
        <v>219</v>
      </c>
      <c r="C173" s="54">
        <v>38241</v>
      </c>
    </row>
    <row r="174" spans="1:3" ht="21">
      <c r="A174" s="52">
        <v>88</v>
      </c>
      <c r="B174" s="53" t="s">
        <v>220</v>
      </c>
      <c r="C174" s="54">
        <v>9898</v>
      </c>
    </row>
    <row r="175" spans="1:3" ht="21">
      <c r="A175" s="52">
        <v>19</v>
      </c>
      <c r="B175" s="53" t="s">
        <v>221</v>
      </c>
      <c r="C175" s="54">
        <v>57590</v>
      </c>
    </row>
    <row r="176" spans="1:3" ht="21">
      <c r="A176" s="52">
        <v>80</v>
      </c>
      <c r="B176" s="53" t="s">
        <v>284</v>
      </c>
      <c r="C176" s="54">
        <v>12004</v>
      </c>
    </row>
    <row r="177" spans="1:3" ht="21">
      <c r="A177" s="52">
        <v>70</v>
      </c>
      <c r="B177" s="53" t="s">
        <v>1407</v>
      </c>
      <c r="C177" s="54">
        <v>14969</v>
      </c>
    </row>
    <row r="178" spans="1:3" ht="21">
      <c r="A178" s="52">
        <v>69</v>
      </c>
      <c r="B178" s="53" t="s">
        <v>225</v>
      </c>
      <c r="C178" s="54">
        <v>15154</v>
      </c>
    </row>
    <row r="179" spans="1:3" ht="21">
      <c r="A179" s="52">
        <v>79</v>
      </c>
      <c r="B179" s="53" t="s">
        <v>226</v>
      </c>
      <c r="C179" s="54">
        <v>12176</v>
      </c>
    </row>
    <row r="180" spans="1:3" ht="21">
      <c r="A180" s="52">
        <v>94</v>
      </c>
      <c r="B180" s="53" t="s">
        <v>2148</v>
      </c>
      <c r="C180" s="54">
        <v>8791</v>
      </c>
    </row>
    <row r="181" spans="1:3" ht="21">
      <c r="A181" s="52">
        <v>40</v>
      </c>
      <c r="B181" s="53" t="s">
        <v>227</v>
      </c>
      <c r="C181" s="54">
        <v>28572</v>
      </c>
    </row>
    <row r="182" spans="1:3" ht="21">
      <c r="A182" s="52">
        <v>50</v>
      </c>
      <c r="B182" s="53" t="s">
        <v>2147</v>
      </c>
      <c r="C182" s="54">
        <v>22882</v>
      </c>
    </row>
    <row r="183" spans="1:3" ht="21">
      <c r="A183" s="52">
        <v>114</v>
      </c>
      <c r="B183" s="52" t="s">
        <v>794</v>
      </c>
      <c r="C183" s="54">
        <v>3623</v>
      </c>
    </row>
    <row r="184" spans="1:3" ht="21">
      <c r="A184" s="52">
        <v>43</v>
      </c>
      <c r="B184" s="53" t="s">
        <v>1362</v>
      </c>
      <c r="C184" s="54">
        <v>25369</v>
      </c>
    </row>
    <row r="185" spans="1:3" ht="21">
      <c r="A185" s="52">
        <v>76</v>
      </c>
      <c r="B185" s="53" t="s">
        <v>2149</v>
      </c>
      <c r="C185" s="54">
        <v>13328</v>
      </c>
    </row>
    <row r="186" spans="1:3" ht="21">
      <c r="A186" s="52">
        <v>67</v>
      </c>
      <c r="B186" s="53" t="s">
        <v>2150</v>
      </c>
      <c r="C186" s="54">
        <v>15907</v>
      </c>
    </row>
    <row r="187" spans="1:3" ht="21">
      <c r="A187" s="52">
        <v>96</v>
      </c>
      <c r="B187" s="53" t="s">
        <v>231</v>
      </c>
      <c r="C187" s="54">
        <v>8630</v>
      </c>
    </row>
    <row r="188" spans="1:3" ht="21">
      <c r="A188" s="52">
        <v>83</v>
      </c>
      <c r="B188" s="53" t="s">
        <v>232</v>
      </c>
      <c r="C188" s="54">
        <v>11414</v>
      </c>
    </row>
    <row r="189" spans="1:3" ht="21">
      <c r="A189" s="52">
        <v>55</v>
      </c>
      <c r="B189" s="53" t="s">
        <v>234</v>
      </c>
      <c r="C189" s="54">
        <v>20438</v>
      </c>
    </row>
    <row r="190" spans="1:3" ht="21">
      <c r="A190" s="52">
        <v>63</v>
      </c>
      <c r="B190" s="53" t="s">
        <v>2151</v>
      </c>
      <c r="C190" s="54">
        <v>17275</v>
      </c>
    </row>
    <row r="191" spans="1:3" ht="21">
      <c r="A191" s="52">
        <v>18</v>
      </c>
      <c r="B191" s="53" t="s">
        <v>487</v>
      </c>
      <c r="C191" s="54">
        <v>58288</v>
      </c>
    </row>
    <row r="192" spans="1:3" ht="21">
      <c r="A192" s="52">
        <v>51</v>
      </c>
      <c r="B192" s="53" t="s">
        <v>2152</v>
      </c>
      <c r="C192" s="54">
        <v>22199</v>
      </c>
    </row>
    <row r="193" spans="1:3" ht="21">
      <c r="A193" s="52">
        <v>84</v>
      </c>
      <c r="B193" s="53" t="s">
        <v>2153</v>
      </c>
      <c r="C193" s="54">
        <v>10561</v>
      </c>
    </row>
    <row r="194" spans="1:3" ht="21">
      <c r="A194" s="52">
        <v>73</v>
      </c>
      <c r="B194" s="53" t="s">
        <v>2154</v>
      </c>
      <c r="C194" s="54">
        <v>13613</v>
      </c>
    </row>
    <row r="195" spans="1:3" ht="21">
      <c r="A195" s="52">
        <v>92</v>
      </c>
      <c r="B195" s="53" t="s">
        <v>2155</v>
      </c>
      <c r="C195" s="54">
        <v>9138</v>
      </c>
    </row>
    <row r="196" spans="1:3" ht="21">
      <c r="A196" s="52">
        <v>65</v>
      </c>
      <c r="B196" s="53" t="s">
        <v>2156</v>
      </c>
      <c r="C196" s="54">
        <v>16330</v>
      </c>
    </row>
    <row r="197" spans="1:3" ht="21">
      <c r="A197" s="52">
        <v>57</v>
      </c>
      <c r="B197" s="53" t="s">
        <v>237</v>
      </c>
      <c r="C197" s="54">
        <v>19227</v>
      </c>
    </row>
    <row r="198" spans="1:3" ht="21">
      <c r="A198" s="52">
        <v>27</v>
      </c>
      <c r="B198" s="53" t="s">
        <v>2157</v>
      </c>
      <c r="C198" s="54">
        <v>42421</v>
      </c>
    </row>
    <row r="199" spans="1:3" ht="21">
      <c r="A199" s="52">
        <v>25</v>
      </c>
      <c r="B199" s="53" t="s">
        <v>2158</v>
      </c>
      <c r="C199" s="54">
        <v>44587</v>
      </c>
    </row>
    <row r="200" spans="1:3" ht="21">
      <c r="A200" s="52">
        <v>59</v>
      </c>
      <c r="B200" s="53" t="s">
        <v>945</v>
      </c>
      <c r="C200" s="54">
        <v>18158</v>
      </c>
    </row>
    <row r="201" spans="1:3" ht="21">
      <c r="A201" s="52">
        <v>12</v>
      </c>
      <c r="B201" s="53" t="s">
        <v>2159</v>
      </c>
      <c r="C201" s="54">
        <v>102848</v>
      </c>
    </row>
    <row r="202" spans="1:3" ht="21">
      <c r="A202" s="52">
        <v>36</v>
      </c>
      <c r="B202" s="53" t="s">
        <v>239</v>
      </c>
      <c r="C202" s="54">
        <v>32031</v>
      </c>
    </row>
    <row r="203" spans="1:3" ht="21">
      <c r="A203" s="52">
        <v>22</v>
      </c>
      <c r="B203" s="53" t="s">
        <v>1370</v>
      </c>
      <c r="C203" s="54">
        <v>52359</v>
      </c>
    </row>
    <row r="204" spans="1:3" ht="21">
      <c r="A204" s="52">
        <v>110</v>
      </c>
      <c r="B204" s="52" t="s">
        <v>240</v>
      </c>
      <c r="C204" s="54">
        <v>4746</v>
      </c>
    </row>
    <row r="205" spans="1:3" ht="21">
      <c r="A205" s="52">
        <v>85</v>
      </c>
      <c r="B205" s="53" t="s">
        <v>2160</v>
      </c>
      <c r="C205" s="54">
        <v>10258</v>
      </c>
    </row>
    <row r="206" spans="1:3" ht="21">
      <c r="A206" s="52">
        <v>46</v>
      </c>
      <c r="B206" s="53" t="s">
        <v>849</v>
      </c>
      <c r="C206" s="54">
        <v>24769</v>
      </c>
    </row>
    <row r="207" spans="1:3" ht="21">
      <c r="A207" s="52">
        <v>49</v>
      </c>
      <c r="B207" s="53" t="s">
        <v>2161</v>
      </c>
      <c r="C207" s="54">
        <v>22900</v>
      </c>
    </row>
    <row r="208" spans="1:3" ht="21">
      <c r="A208" s="52">
        <v>104</v>
      </c>
      <c r="B208" s="52" t="s">
        <v>2162</v>
      </c>
      <c r="C208" s="54">
        <v>6274</v>
      </c>
    </row>
    <row r="209" spans="1:3" ht="21">
      <c r="A209" s="52">
        <v>74</v>
      </c>
      <c r="B209" s="53" t="s">
        <v>1474</v>
      </c>
      <c r="C209" s="54">
        <v>13484</v>
      </c>
    </row>
    <row r="210" spans="1:3" ht="21">
      <c r="A210" s="52">
        <v>48</v>
      </c>
      <c r="B210" s="53" t="s">
        <v>1410</v>
      </c>
      <c r="C210" s="54">
        <v>22932</v>
      </c>
    </row>
    <row r="211" spans="1:3" ht="21">
      <c r="A211" s="52">
        <v>111</v>
      </c>
      <c r="B211" s="52" t="s">
        <v>1411</v>
      </c>
      <c r="C211" s="54">
        <v>4550</v>
      </c>
    </row>
    <row r="212" spans="1:3" ht="21">
      <c r="A212" s="52">
        <v>109</v>
      </c>
      <c r="B212" s="52" t="s">
        <v>2165</v>
      </c>
      <c r="C212" s="54">
        <v>4923</v>
      </c>
    </row>
    <row r="213" spans="1:3" ht="21">
      <c r="A213" s="52">
        <v>30</v>
      </c>
      <c r="B213" s="53" t="s">
        <v>245</v>
      </c>
      <c r="C213" s="54">
        <v>38538</v>
      </c>
    </row>
    <row r="214" spans="1:3" ht="21">
      <c r="A214" s="52">
        <v>99</v>
      </c>
      <c r="B214" s="53" t="s">
        <v>2166</v>
      </c>
      <c r="C214" s="54">
        <v>8207</v>
      </c>
    </row>
    <row r="215" spans="1:3" ht="21">
      <c r="A215" s="52">
        <v>107</v>
      </c>
      <c r="B215" s="52" t="s">
        <v>264</v>
      </c>
      <c r="C215" s="54">
        <v>5975</v>
      </c>
    </row>
    <row r="216" spans="1:3" ht="21">
      <c r="A216" s="52">
        <v>3</v>
      </c>
      <c r="B216" s="53" t="s">
        <v>2172</v>
      </c>
      <c r="C216" s="54">
        <v>398472</v>
      </c>
    </row>
    <row r="217" spans="1:3" ht="21">
      <c r="A217" s="52">
        <v>90</v>
      </c>
      <c r="B217" s="53" t="s">
        <v>947</v>
      </c>
      <c r="C217" s="54">
        <v>9455</v>
      </c>
    </row>
    <row r="218" spans="1:3" ht="21">
      <c r="A218" s="52">
        <v>17</v>
      </c>
      <c r="B218" s="53" t="s">
        <v>2163</v>
      </c>
      <c r="C218" s="54">
        <v>66653</v>
      </c>
    </row>
    <row r="219" spans="1:3" ht="21">
      <c r="A219" s="52">
        <v>4</v>
      </c>
      <c r="B219" s="53" t="s">
        <v>2173</v>
      </c>
      <c r="C219" s="54">
        <v>304709</v>
      </c>
    </row>
    <row r="220" spans="1:3" ht="21">
      <c r="A220" s="52">
        <v>1</v>
      </c>
      <c r="B220" s="53" t="s">
        <v>1992</v>
      </c>
      <c r="C220" s="54">
        <v>996179</v>
      </c>
    </row>
    <row r="221" spans="1:3" ht="21">
      <c r="A221" s="52">
        <v>60</v>
      </c>
      <c r="B221" s="53" t="s">
        <v>2164</v>
      </c>
      <c r="C221" s="54">
        <v>17887</v>
      </c>
    </row>
    <row r="222" spans="1:3" ht="21">
      <c r="A222" s="52">
        <v>39</v>
      </c>
      <c r="B222" s="53" t="s">
        <v>2167</v>
      </c>
      <c r="C222" s="54">
        <v>29255</v>
      </c>
    </row>
    <row r="223" spans="1:3" ht="21">
      <c r="A223" s="52">
        <v>37</v>
      </c>
      <c r="B223" s="53" t="s">
        <v>2074</v>
      </c>
      <c r="C223" s="54">
        <v>31875</v>
      </c>
    </row>
    <row r="224" spans="1:3" ht="21">
      <c r="A224" s="52">
        <v>105</v>
      </c>
      <c r="B224" s="52" t="s">
        <v>250</v>
      </c>
      <c r="C224" s="54">
        <v>6163</v>
      </c>
    </row>
    <row r="225" spans="1:3" ht="21">
      <c r="A225" s="52">
        <v>20</v>
      </c>
      <c r="B225" s="53" t="s">
        <v>2168</v>
      </c>
      <c r="C225" s="54">
        <v>55563</v>
      </c>
    </row>
    <row r="226" spans="1:3" ht="21">
      <c r="A226" s="52">
        <v>41</v>
      </c>
      <c r="B226" s="53" t="s">
        <v>2169</v>
      </c>
      <c r="C226" s="54">
        <v>25518</v>
      </c>
    </row>
    <row r="227" spans="1:3" ht="21">
      <c r="A227" s="52">
        <v>53</v>
      </c>
      <c r="B227" s="53" t="s">
        <v>2170</v>
      </c>
      <c r="C227" s="54">
        <v>20560</v>
      </c>
    </row>
    <row r="228" spans="1:3" ht="21">
      <c r="A228" s="52">
        <v>34</v>
      </c>
      <c r="B228" s="53" t="s">
        <v>257</v>
      </c>
      <c r="C228" s="54">
        <v>35090</v>
      </c>
    </row>
    <row r="229" spans="1:3" ht="21">
      <c r="A229" s="52">
        <v>45</v>
      </c>
      <c r="B229" s="53" t="s">
        <v>258</v>
      </c>
      <c r="C229" s="54">
        <v>24819</v>
      </c>
    </row>
    <row r="230" spans="1:3" ht="21">
      <c r="A230" s="52">
        <v>77</v>
      </c>
      <c r="B230" s="53" t="s">
        <v>259</v>
      </c>
      <c r="C230" s="54">
        <v>13058</v>
      </c>
    </row>
    <row r="231" spans="1:3" ht="21">
      <c r="A231" s="52">
        <v>29</v>
      </c>
      <c r="B231" s="53" t="s">
        <v>853</v>
      </c>
      <c r="C231" s="54">
        <v>39127</v>
      </c>
    </row>
    <row r="232" spans="1:3" ht="21">
      <c r="A232" s="52">
        <v>115</v>
      </c>
      <c r="B232" s="52" t="s">
        <v>1397</v>
      </c>
      <c r="C232" s="54">
        <v>2001</v>
      </c>
    </row>
    <row r="233" spans="1:3" ht="21">
      <c r="A233" s="52">
        <v>58</v>
      </c>
      <c r="B233" s="53" t="s">
        <v>1573</v>
      </c>
      <c r="C233" s="54">
        <v>18256</v>
      </c>
    </row>
  </sheetData>
  <hyperlinks>
    <hyperlink ref="B220" r:id="rId1" display="https://www.missouri-demographics.com/st-louis-county-demographics" xr:uid="{F400A5F1-F3BC-8C41-8FD8-FA209BBEE9F6}"/>
    <hyperlink ref="B166" r:id="rId2" display="https://www.missouri-demographics.com/jackson-county-demographics" xr:uid="{8AACB1C4-39F1-EA4B-BE8A-B0A1F6D7595A}"/>
    <hyperlink ref="B216" r:id="rId3" display="https://www.missouri-demographics.com/st-charles-county-demographics" xr:uid="{D805FF2F-90DC-414F-8BD6-C42E3E67C99B}"/>
    <hyperlink ref="B219" r:id="rId4" display="https://www.missouri-demographics.com/st-louis-city-county-demographics" xr:uid="{EC4817F3-F20F-8447-BDC1-84B1E2AA33CD}"/>
    <hyperlink ref="B157" r:id="rId5" display="https://www.missouri-demographics.com/greene-county-demographics" xr:uid="{F3B35E9D-3BFF-7B4E-9E2D-D6BA7AC50FB2}"/>
    <hyperlink ref="B142" r:id="rId6" display="https://www.missouri-demographics.com/clay-county-demographics" xr:uid="{F421246E-3AB8-DC45-89C3-1774E1C027CC}"/>
    <hyperlink ref="B168" r:id="rId7" display="https://www.missouri-demographics.com/jefferson-county-demographics" xr:uid="{9427373C-B38A-4C4B-B08A-4370E63451B6}"/>
    <hyperlink ref="B128" r:id="rId8" display="https://www.missouri-demographics.com/boone-county-demographics" xr:uid="{AF053EAB-8520-EA4B-AA6C-38FEB0756C88}"/>
    <hyperlink ref="B167" r:id="rId9" display="https://www.missouri-demographics.com/jasper-county-demographics" xr:uid="{EE0EF7C7-4023-A24E-AB0A-D33C7C2D9928}"/>
    <hyperlink ref="B137" r:id="rId10" display="https://www.missouri-demographics.com/cass-county-demographics" xr:uid="{155245AD-206D-0042-BA54-2610B6D48071}"/>
    <hyperlink ref="B154" r:id="rId11" display="https://www.missouri-demographics.com/franklin-county-demographics" xr:uid="{A1C63369-04D1-C94A-BA6E-5B95B237996F}"/>
    <hyperlink ref="B201" r:id="rId12" display="https://www.missouri-demographics.com/platte-county-demographics" xr:uid="{988FF017-3F24-D44F-BBF3-E983E1748EDB}"/>
    <hyperlink ref="B129" r:id="rId13" display="https://www.missouri-demographics.com/buchanan-county-demographics" xr:uid="{E0F25534-069A-6D45-BC1D-0AB74DD55735}"/>
    <hyperlink ref="B140" r:id="rId14" display="https://www.missouri-demographics.com/christian-county-demographics" xr:uid="{506D6AD7-1D73-054F-80F9-BEFBBF17641C}"/>
    <hyperlink ref="B134" r:id="rId15" display="https://www.missouri-demographics.com/cape-girardeau-county-demographics" xr:uid="{146B5BC8-59A9-984C-BE7B-D3D8B90BE096}"/>
    <hyperlink ref="B144" r:id="rId16" display="https://www.missouri-demographics.com/cole-county-demographics" xr:uid="{6AE631A3-4C79-1D46-811E-0B76F560583D}"/>
    <hyperlink ref="B218" r:id="rId17" display="https://www.missouri-demographics.com/st-francois-county-demographics" xr:uid="{F5F6F9BF-97A5-0240-9D35-5EEC628231CC}"/>
    <hyperlink ref="B191" r:id="rId18" display="https://www.missouri-demographics.com/newton-county-demographics" xr:uid="{BFC665DF-1D3A-4D43-BF8A-55861FEBA612}"/>
    <hyperlink ref="B175" r:id="rId19" display="https://www.missouri-demographics.com/lincoln-county-demographics" xr:uid="{1293B1F7-3077-6844-BA61-D18A80348E5B}"/>
    <hyperlink ref="B225" r:id="rId20" display="https://www.missouri-demographics.com/taney-county-demographics" xr:uid="{0149DFA2-4F47-A040-B4E6-9351E4968FBF}"/>
    <hyperlink ref="B169" r:id="rId21" display="https://www.missouri-demographics.com/johnson-county-demographics" xr:uid="{D30FAD93-4686-5645-907E-685B114CAC98}"/>
    <hyperlink ref="B203" r:id="rId22" display="https://www.missouri-demographics.com/pulaski-county-demographics" xr:uid="{C3E2C187-A665-8D49-8033-B1BC693838D2}"/>
    <hyperlink ref="B133" r:id="rId23" display="https://www.missouri-demographics.com/camden-county-demographics" xr:uid="{69C41A6E-F713-0C4C-92D6-FAB9AAAFB93E}"/>
    <hyperlink ref="B132" r:id="rId24" display="https://www.missouri-demographics.com/callaway-county-demographics" xr:uid="{A4E65EF9-2D42-134C-9785-96AB187F42FC}"/>
    <hyperlink ref="B199" r:id="rId25" display="https://www.missouri-demographics.com/phelps-county-demographics" xr:uid="{777AFA42-54DF-A84E-86E9-14DD61A76F4F}"/>
    <hyperlink ref="B130" r:id="rId26" display="https://www.missouri-demographics.com/butler-county-demographics" xr:uid="{229B1E63-820B-3A43-9609-EC0EFD682FA0}"/>
    <hyperlink ref="B198" r:id="rId27" display="https://www.missouri-demographics.com/pettis-county-demographics" xr:uid="{632CA3C3-58FD-9B4F-A336-8DE198FC6CC9}"/>
    <hyperlink ref="B164" r:id="rId28" display="https://www.missouri-demographics.com/howell-county-demographics" xr:uid="{C761BAD0-44A8-B647-BE6B-C0A7CDBF0999}"/>
    <hyperlink ref="B231" r:id="rId29" display="https://www.missouri-demographics.com/webster-county-demographics" xr:uid="{A4CDADF1-DE67-3E45-ABFA-CE8A98ED8B15}"/>
    <hyperlink ref="B213" r:id="rId30" display="https://www.missouri-demographics.com/scott-county-demographics" xr:uid="{A85138AE-9E7D-8E41-880E-52D2B06D05A2}"/>
    <hyperlink ref="B173" r:id="rId31" display="https://www.missouri-demographics.com/lawrence-county-demographics" xr:uid="{70F05BBE-BD46-274C-BA48-7BDE456AC8DF}"/>
    <hyperlink ref="B171" r:id="rId32" display="https://www.missouri-demographics.com/laclede-county-demographics" xr:uid="{8F9697BE-8615-8F4B-9D0F-F8740C6633D9}"/>
    <hyperlink ref="B123" r:id="rId33" display="https://www.missouri-demographics.com/barry-county-demographics" xr:uid="{2DAB5689-027C-ED48-AA98-F2080904285D}"/>
    <hyperlink ref="B228" r:id="rId34" display="https://www.missouri-demographics.com/warren-county-demographics" xr:uid="{E3665B15-0B08-E14A-9747-84684E1C2981}"/>
    <hyperlink ref="B172" r:id="rId35" display="https://www.missouri-demographics.com/lafayette-county-demographics" xr:uid="{FCB317E4-A069-6D46-9872-7B29F2187C81}"/>
    <hyperlink ref="B202" r:id="rId36" display="https://www.missouri-demographics.com/polk-county-demographics" xr:uid="{4A9441AE-36B9-D941-A76F-7570B5E38659}"/>
    <hyperlink ref="B223" r:id="rId37" display="https://www.missouri-demographics.com/stone-county-demographics" xr:uid="{B3CD31B6-ACD6-DB44-BD0C-F65C428E172F}"/>
    <hyperlink ref="B153" r:id="rId38" display="https://www.missouri-demographics.com/dunklin-county-demographics" xr:uid="{0EFCDFAE-9A00-8247-AE4C-EF742CD17EC6}"/>
    <hyperlink ref="B222" r:id="rId39" display="https://www.missouri-demographics.com/stoddard-county-demographics" xr:uid="{310BDD12-539A-0F40-88FD-C7B1E587C081}"/>
    <hyperlink ref="B181" r:id="rId40" display="https://www.missouri-demographics.com/marion-county-demographics" xr:uid="{440122E1-FF0A-B64A-8C72-41071537D681}"/>
    <hyperlink ref="B226" r:id="rId41" display="https://www.missouri-demographics.com/texas-county-demographics" xr:uid="{A7ABE04D-BC99-504C-BC71-17003C8A96FF}"/>
    <hyperlink ref="B119" r:id="rId42" display="https://www.missouri-demographics.com/adair-county-demographics" xr:uid="{0A2E14E5-1DF3-9A47-8512-FC52E14F269C}"/>
    <hyperlink ref="B184" r:id="rId43" display="https://www.missouri-demographics.com/miller-county-demographics" xr:uid="{26B84133-7B47-4A41-922A-B80FD5F9B126}"/>
    <hyperlink ref="B122" r:id="rId44" display="https://www.missouri-demographics.com/audrain-county-demographics" xr:uid="{62683342-D28F-F247-BBEB-965C64C67F28}"/>
    <hyperlink ref="B229" r:id="rId45" display="https://www.missouri-demographics.com/washington-county-demographics" xr:uid="{11AD38A0-C622-9143-AF51-D1B49A45BCEA}"/>
    <hyperlink ref="B206" r:id="rId46" display="https://www.missouri-demographics.com/randolph-county-demographics" xr:uid="{DB4C8498-D53C-A843-B44B-F136C450E8CB}"/>
    <hyperlink ref="B146" r:id="rId47" display="https://www.missouri-demographics.com/crawford-county-demographics" xr:uid="{BBB6A45F-CE6E-934D-A656-DF6AE3F94C3F}"/>
    <hyperlink ref="B210" r:id="rId48" display="https://www.missouri-demographics.com/saline-county-demographics" xr:uid="{BC5C7551-2C39-744A-A7D1-3DA0DFBA3852}"/>
    <hyperlink ref="B207" r:id="rId49" display="https://www.missouri-demographics.com/ray-county-demographics" xr:uid="{DEEB90F4-2EF8-854C-9242-F64C60824A8F}"/>
    <hyperlink ref="B182" r:id="rId50" display="https://www.missouri-demographics.com/mcdonald-county-demographics" xr:uid="{02E7DBA5-B37E-A64B-9374-AC5A9A373043}"/>
    <hyperlink ref="B192" r:id="rId51" display="https://www.missouri-demographics.com/nodaway-county-demographics" xr:uid="{81158CD2-C390-5841-B7B1-1DC39862486F}"/>
    <hyperlink ref="B160" r:id="rId52" display="https://www.missouri-demographics.com/henry-county-demographics" xr:uid="{0CA3B81B-C5BD-2F4F-B16D-0D50FB0FD261}"/>
    <hyperlink ref="B227" r:id="rId53" display="https://www.missouri-demographics.com/vernon-county-demographics" xr:uid="{E2257845-2B3C-A44F-9AB7-00D66BCCA9D9}"/>
    <hyperlink ref="B143" r:id="rId54" display="https://www.missouri-demographics.com/clinton-county-demographics" xr:uid="{C9018E3B-ED9A-2E4B-8C57-D18DA25929F6}"/>
    <hyperlink ref="B189" r:id="rId55" display="https://www.missouri-demographics.com/morgan-county-demographics" xr:uid="{EB5F75F4-E25E-9E49-82FF-81CA3D8B8D99}"/>
    <hyperlink ref="B126" r:id="rId56" display="https://www.missouri-demographics.com/benton-county-demographics" xr:uid="{994569ED-1293-EC4A-A20E-A998E1A87D1A}"/>
    <hyperlink ref="B197" r:id="rId57" display="https://www.missouri-demographics.com/perry-county-demographics" xr:uid="{CC444593-E1DD-AE41-8F2B-A81FFADBAB68}"/>
    <hyperlink ref="B233" r:id="rId58" display="https://www.missouri-demographics.com/wright-county-demographics" xr:uid="{ED58FF05-1489-5E49-AF0E-37A464D99A89}"/>
    <hyperlink ref="B200" r:id="rId59" display="https://www.missouri-demographics.com/pike-county-demographics" xr:uid="{26D7ABA4-0256-2C41-9F62-62D316BD6F62}"/>
    <hyperlink ref="B221" r:id="rId60" display="https://www.missouri-demographics.com/ste-genevieve-county-demographics" xr:uid="{D95BB72D-F5F2-7D4F-95DE-5F1F86A2F87C}"/>
    <hyperlink ref="B120" r:id="rId61" display="https://www.missouri-demographics.com/andrew-county-demographics" xr:uid="{4945C146-B8BA-5247-B16E-74CC318A8042}"/>
    <hyperlink ref="B145" r:id="rId62" display="https://www.missouri-demographics.com/cooper-county-demographics" xr:uid="{8B376D27-D181-7B4A-86ED-7DE0E5E05001}"/>
    <hyperlink ref="B190" r:id="rId63" display="https://www.missouri-demographics.com/new-madrid-county-demographics" xr:uid="{E54749F7-3FB0-AF45-A5E0-A3EF53A667DA}"/>
    <hyperlink ref="B148" r:id="rId64" display="https://www.missouri-demographics.com/dallas-county-demographics" xr:uid="{791AD8AC-AEDD-7941-9555-C3C762E73ED0}"/>
    <hyperlink ref="B196" r:id="rId65" display="https://www.missouri-demographics.com/pemiscot-county-demographics" xr:uid="{49CA3E26-418F-6B46-98A6-AD64A8D8FA67}"/>
    <hyperlink ref="B125" r:id="rId66" display="https://www.missouri-demographics.com/bates-county-demographics" xr:uid="{EA98327B-166C-2546-81EA-5DCFC59B8B64}"/>
    <hyperlink ref="B186" r:id="rId67" display="https://www.missouri-demographics.com/moniteau-county-demographics" xr:uid="{37B3B1E6-032F-8549-8A66-FB93A8768A73}"/>
    <hyperlink ref="B151" r:id="rId68" display="https://www.missouri-demographics.com/dent-county-demographics" xr:uid="{A4E03E9C-E753-0B44-BDF0-FF1F4BB34297}"/>
    <hyperlink ref="B178" r:id="rId69" display="https://www.missouri-demographics.com/macon-county-demographics" xr:uid="{260741D1-2E32-0F4F-AC24-7AC682BF57FD}"/>
    <hyperlink ref="B177" r:id="rId70" display="https://www.missouri-demographics.com/livingston-county-demographics" xr:uid="{B3E960D5-9C4D-B64F-841C-A698CD010AE9}"/>
    <hyperlink ref="B155" r:id="rId71" display="https://www.missouri-demographics.com/gasconade-county-demographics" xr:uid="{D29F7696-4721-D84A-B584-928AC2FEA287}"/>
    <hyperlink ref="B138" r:id="rId72" display="https://www.missouri-demographics.com/cedar-county-demographics" xr:uid="{9DA8F638-48D1-C640-A90A-F21187B3466D}"/>
    <hyperlink ref="B194" r:id="rId73" display="https://www.missouri-demographics.com/osage-county-demographics" xr:uid="{FFEB3907-FCCD-7C4E-886F-1DBB79074926}"/>
    <hyperlink ref="B209" r:id="rId74" display="https://www.missouri-demographics.com/ripley-county-demographics" xr:uid="{0F27D60B-1A69-3E4D-9FBD-B2AB2361116B}"/>
    <hyperlink ref="B152" r:id="rId75" display="https://www.missouri-demographics.com/douglas-county-demographics" xr:uid="{0B8F0597-4BEE-204C-9B44-E25249A48232}"/>
    <hyperlink ref="B185" r:id="rId76" display="https://www.missouri-demographics.com/mississippi-county-demographics" xr:uid="{3BDF4EB9-0C9A-4846-9B6B-3FF21328ABCB}"/>
    <hyperlink ref="B230" r:id="rId77" display="https://www.missouri-demographics.com/wayne-county-demographics" xr:uid="{F7959569-8A16-5C4A-9D1D-39449DFE9986}"/>
    <hyperlink ref="B127" r:id="rId78" display="https://www.missouri-demographics.com/bollinger-county-demographics" xr:uid="{F7528E1A-C8BC-E246-9E86-A57F2A39A701}"/>
    <hyperlink ref="B179" r:id="rId79" display="https://www.missouri-demographics.com/madison-county-demographics" xr:uid="{2FE46578-EFEA-F44C-801D-5BF4DA4383D4}"/>
    <hyperlink ref="B176" r:id="rId80" display="https://www.missouri-demographics.com/linn-county-demographics" xr:uid="{BD8284E2-96CF-3047-A1D4-EABA2343D6AF}"/>
    <hyperlink ref="B150" r:id="rId81" display="https://www.missouri-demographics.com/dekalb-county-demographics" xr:uid="{5E032DDA-57D4-F24C-918C-52C6BECEC2E0}"/>
    <hyperlink ref="B124" r:id="rId82" display="https://www.missouri-demographics.com/barton-county-demographics" xr:uid="{FF54D9A1-A5FB-934E-88F8-641C95CF7CAE}"/>
    <hyperlink ref="B188" r:id="rId83" display="https://www.missouri-demographics.com/montgomery-county-demographics" xr:uid="{7D224C7E-826B-024D-BF67-03F0FA275CC4}"/>
    <hyperlink ref="B193" r:id="rId84" display="https://www.missouri-demographics.com/oregon-county-demographics" xr:uid="{C01A17BD-FE77-C24D-BDCD-401B40F269E5}"/>
    <hyperlink ref="B205" r:id="rId85" display="https://www.missouri-demographics.com/ralls-county-demographics" xr:uid="{7A92DE8B-66DE-154F-8B11-F999A42F970D}"/>
    <hyperlink ref="B165" r:id="rId86" display="https://www.missouri-demographics.com/iron-county-demographics" xr:uid="{3A25198D-6070-694D-A5A9-26A84A3C5755}"/>
    <hyperlink ref="B163" r:id="rId87" display="https://www.missouri-demographics.com/howard-county-demographics" xr:uid="{29D01003-CAF6-1D44-BE43-413864712295}"/>
    <hyperlink ref="B174" r:id="rId88" display="https://www.missouri-demographics.com/lewis-county-demographics" xr:uid="{D11C6CEB-D4DB-7840-A64F-4BBE28787B0E}"/>
    <hyperlink ref="B158" r:id="rId89" display="https://www.missouri-demographics.com/grundy-county-demographics" xr:uid="{F45B9145-FB54-8A46-9527-BF6B23F49A81}"/>
    <hyperlink ref="B217" r:id="rId90" display="https://www.missouri-demographics.com/st-clair-county-demographics" xr:uid="{42706E8B-284C-A044-B7E7-3B0652586E5F}"/>
    <hyperlink ref="B161" r:id="rId91" display="https://www.missouri-demographics.com/hickory-county-demographics" xr:uid="{6A9597B5-1FDD-8E41-8C5C-DFF44FD68CB5}"/>
    <hyperlink ref="B195" r:id="rId92" display="https://www.missouri-demographics.com/ozark-county-demographics" xr:uid="{7AD3C207-C793-5446-A9D9-07671962F0BD}"/>
    <hyperlink ref="B131" r:id="rId93" display="https://www.missouri-demographics.com/caldwell-county-demographics" xr:uid="{667FB08F-79E3-E14B-9387-DB3BDAB4FC43}"/>
    <hyperlink ref="B180" r:id="rId94" display="https://www.missouri-demographics.com/maries-county-demographics" xr:uid="{2D7A8B3E-2FE7-524B-B537-284F5B1C6DEB}"/>
    <hyperlink ref="B135" r:id="rId95" display="https://www.missouri-demographics.com/carroll-county-demographics" xr:uid="{588D2298-2F1C-D94B-97BF-1CED3FC605AD}"/>
    <hyperlink ref="B187" r:id="rId96" display="https://www.missouri-demographics.com/monroe-county-demographics" xr:uid="{4ED99A47-2605-5D4E-9CD5-C9FC30A4B07D}"/>
    <hyperlink ref="B159" r:id="rId97" display="https://www.missouri-demographics.com/harrison-county-demographics" xr:uid="{3E737BF9-596C-3246-AAC6-ABF41A8AB9F2}"/>
    <hyperlink ref="B149" r:id="rId98" display="https://www.missouri-demographics.com/daviess-county-demographics" xr:uid="{F51FDBAC-609A-BA49-A58B-1D96DB709C8F}"/>
    <hyperlink ref="B214" r:id="rId99" display="https://www.missouri-demographics.com/shannon-county-demographics" xr:uid="{55B8FDA8-9E63-2F46-8F8C-9A053E2A7F46}"/>
    <hyperlink ref="B147" r:id="rId100" display="https://www.missouri-demographics.com/dade-county-demographics" xr:uid="{579C3201-B5E8-8C48-BB5C-28C62AAB8271}"/>
  </hyperlinks>
  <pageMargins left="0.7" right="0.7" top="0.75" bottom="0.75" header="0.3" footer="0.3"/>
  <tableParts count="3">
    <tablePart r:id="rId101"/>
    <tablePart r:id="rId102"/>
    <tablePart r:id="rId10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3F52-257C-1841-B20A-839EDF40EC43}">
  <dimension ref="A1:Q189"/>
  <sheetViews>
    <sheetView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8.33203125" customWidth="1"/>
    <col min="8" max="8" width="18.33203125" style="1" customWidth="1"/>
    <col min="9" max="9" width="15.5" customWidth="1"/>
    <col min="10" max="10" width="17.33203125" customWidth="1"/>
    <col min="11" max="11" width="17.33203125" style="1" customWidth="1"/>
    <col min="12" max="12" width="14.5" customWidth="1"/>
  </cols>
  <sheetData>
    <row r="1" spans="1:17" ht="21">
      <c r="A1" s="95" t="s">
        <v>64</v>
      </c>
      <c r="B1" s="95" t="s">
        <v>1674</v>
      </c>
      <c r="C1" s="95" t="s">
        <v>1702</v>
      </c>
      <c r="D1" s="95" t="s">
        <v>1677</v>
      </c>
      <c r="F1" s="15" t="s">
        <v>165</v>
      </c>
      <c r="G1" s="15" t="s">
        <v>166</v>
      </c>
      <c r="H1" s="15" t="s">
        <v>1677</v>
      </c>
      <c r="I1" s="15" t="s">
        <v>167</v>
      </c>
      <c r="J1" s="15" t="s">
        <v>168</v>
      </c>
      <c r="K1" s="15" t="s">
        <v>1687</v>
      </c>
      <c r="L1" s="15" t="s">
        <v>169</v>
      </c>
      <c r="M1" s="15" t="s">
        <v>62</v>
      </c>
      <c r="P1" t="s">
        <v>267</v>
      </c>
      <c r="Q1" t="s">
        <v>328</v>
      </c>
    </row>
    <row r="2" spans="1:17" ht="20">
      <c r="A2" s="78" t="s">
        <v>1094</v>
      </c>
      <c r="B2" s="78" t="s">
        <v>297</v>
      </c>
      <c r="C2" s="78">
        <v>23</v>
      </c>
      <c r="D2" s="98">
        <f>Table10[[#This Row],[2019]]/C97</f>
        <v>7.2920960020291046E-4</v>
      </c>
      <c r="F2" s="16" t="s">
        <v>1144</v>
      </c>
      <c r="G2" s="17">
        <v>10085</v>
      </c>
      <c r="H2" s="80">
        <f>Table13[[#This Row],[TRUMP VOTES]]/C97</f>
        <v>0.31974255730636314</v>
      </c>
      <c r="I2" s="18">
        <v>0.69099999999999995</v>
      </c>
      <c r="J2" s="17">
        <v>4213</v>
      </c>
      <c r="K2" s="91">
        <f>Table13[[#This Row],[BIDEN VOTES]]/C97</f>
        <v>0.13357217589803747</v>
      </c>
      <c r="L2" s="18">
        <v>0.28899999999999998</v>
      </c>
      <c r="M2" s="80">
        <f>1-(Table13[[#This Row],[NbP]]+Table13[[#This Row],[NbP2]])</f>
        <v>0.54668526679559937</v>
      </c>
      <c r="O2" t="s">
        <v>1671</v>
      </c>
      <c r="P2" s="37">
        <f>CORREL(D:D,H:H)</f>
        <v>-0.12811416141858789</v>
      </c>
      <c r="Q2">
        <v>0.1</v>
      </c>
    </row>
    <row r="3" spans="1:17" ht="20">
      <c r="A3" s="78" t="s">
        <v>2174</v>
      </c>
      <c r="B3" s="78" t="s">
        <v>297</v>
      </c>
      <c r="C3" s="78">
        <v>5</v>
      </c>
      <c r="D3" s="98">
        <f>Table10[[#This Row],[2019]]/C98</f>
        <v>7.9176563737133805E-4</v>
      </c>
      <c r="F3" s="16" t="s">
        <v>2224</v>
      </c>
      <c r="G3" s="17">
        <v>3093</v>
      </c>
      <c r="H3" s="80">
        <f>Table13[[#This Row],[TRUMP VOTES]]/C98</f>
        <v>0.48978622327790972</v>
      </c>
      <c r="I3" s="18">
        <v>0.86299999999999999</v>
      </c>
      <c r="J3" s="19">
        <v>452</v>
      </c>
      <c r="K3" s="91">
        <f>Table13[[#This Row],[BIDEN VOTES]]/C98</f>
        <v>7.1575613618368963E-2</v>
      </c>
      <c r="L3" s="18">
        <v>0.126</v>
      </c>
      <c r="M3" s="80">
        <f>1-(Table13[[#This Row],[NbP]]+Table13[[#This Row],[NbP2]])</f>
        <v>0.43863816310372128</v>
      </c>
      <c r="O3" t="s">
        <v>1672</v>
      </c>
      <c r="P3" s="37">
        <f>CORREL(D:D,K:K)</f>
        <v>-9.7803621849975292E-2</v>
      </c>
      <c r="Q3" s="1">
        <v>0.1</v>
      </c>
    </row>
    <row r="4" spans="1:17" ht="20">
      <c r="A4" s="78" t="s">
        <v>2175</v>
      </c>
      <c r="B4" s="78" t="s">
        <v>297</v>
      </c>
      <c r="C4" s="78">
        <v>0</v>
      </c>
      <c r="D4" s="98">
        <f>Table10[[#This Row],[2019]]/C99</f>
        <v>0</v>
      </c>
      <c r="F4" s="16" t="s">
        <v>2225</v>
      </c>
      <c r="G4" s="19">
        <v>260</v>
      </c>
      <c r="H4" s="80">
        <f>Table13[[#This Row],[TRUMP VOTES]]/C99</f>
        <v>0.592255125284738</v>
      </c>
      <c r="I4" s="18">
        <v>0.91500000000000004</v>
      </c>
      <c r="J4" s="19">
        <v>21</v>
      </c>
      <c r="K4" s="91">
        <f>Table13[[#This Row],[BIDEN VOTES]]/C99</f>
        <v>4.7835990888382689E-2</v>
      </c>
      <c r="L4" s="18">
        <v>7.3999999999999996E-2</v>
      </c>
      <c r="M4" s="80">
        <f>1-(Table13[[#This Row],[NbP]]+Table13[[#This Row],[NbP2]])</f>
        <v>0.35990888382687936</v>
      </c>
      <c r="O4" t="s">
        <v>1679</v>
      </c>
      <c r="P4" s="37">
        <f>CORREL(D:D,M:M)</f>
        <v>0.12131968532384044</v>
      </c>
      <c r="Q4" s="1">
        <v>0.1</v>
      </c>
    </row>
    <row r="5" spans="1:17" ht="20">
      <c r="A5" s="78" t="s">
        <v>2176</v>
      </c>
      <c r="B5" s="78" t="s">
        <v>297</v>
      </c>
      <c r="C5" s="78">
        <v>2</v>
      </c>
      <c r="D5" s="98">
        <f>Table10[[#This Row],[2019]]/C100</f>
        <v>3.1007751937984496E-3</v>
      </c>
      <c r="F5" s="16" t="s">
        <v>2226</v>
      </c>
      <c r="G5" s="19">
        <v>362</v>
      </c>
      <c r="H5" s="80">
        <f>Table13[[#This Row],[TRUMP VOTES]]/C100</f>
        <v>0.5612403100775194</v>
      </c>
      <c r="I5" s="18">
        <v>0.88300000000000001</v>
      </c>
      <c r="J5" s="19">
        <v>43</v>
      </c>
      <c r="K5" s="91">
        <f>Table13[[#This Row],[BIDEN VOTES]]/C100</f>
        <v>6.6666666666666666E-2</v>
      </c>
      <c r="L5" s="18">
        <v>0.105</v>
      </c>
      <c r="M5" s="80">
        <f>1-(Table13[[#This Row],[NbP]]+Table13[[#This Row],[NbP2]])</f>
        <v>0.37209302325581395</v>
      </c>
    </row>
    <row r="6" spans="1:17" ht="20">
      <c r="A6" s="78" t="s">
        <v>2177</v>
      </c>
      <c r="B6" s="78" t="s">
        <v>297</v>
      </c>
      <c r="C6" s="78">
        <v>0</v>
      </c>
      <c r="D6" s="98">
        <f>Table10[[#This Row],[2019]]/C101</f>
        <v>0</v>
      </c>
      <c r="F6" s="16" t="s">
        <v>2227</v>
      </c>
      <c r="G6" s="19">
        <v>280</v>
      </c>
      <c r="H6" s="80">
        <f>Table13[[#This Row],[TRUMP VOTES]]/C101</f>
        <v>0.59957173447537471</v>
      </c>
      <c r="I6" s="18">
        <v>0.88300000000000001</v>
      </c>
      <c r="J6" s="19">
        <v>35</v>
      </c>
      <c r="K6" s="91">
        <f>Table13[[#This Row],[BIDEN VOTES]]/C101</f>
        <v>7.4946466809421838E-2</v>
      </c>
      <c r="L6" s="18">
        <v>0.11</v>
      </c>
      <c r="M6" s="80">
        <f>1-(Table13[[#This Row],[NbP]]+Table13[[#This Row],[NbP2]])</f>
        <v>0.32548179871520344</v>
      </c>
    </row>
    <row r="7" spans="1:17" ht="20">
      <c r="A7" s="78" t="s">
        <v>859</v>
      </c>
      <c r="B7" s="78" t="s">
        <v>297</v>
      </c>
      <c r="C7" s="78">
        <v>1</v>
      </c>
      <c r="D7" s="98">
        <f>Table10[[#This Row],[2019]]/C102</f>
        <v>1.9127773527161438E-4</v>
      </c>
      <c r="F7" s="16" t="s">
        <v>827</v>
      </c>
      <c r="G7" s="17">
        <v>2653</v>
      </c>
      <c r="H7" s="80">
        <f>Table13[[#This Row],[TRUMP VOTES]]/C102</f>
        <v>0.50745983167559294</v>
      </c>
      <c r="I7" s="18">
        <v>0.82499999999999996</v>
      </c>
      <c r="J7" s="19">
        <v>499</v>
      </c>
      <c r="K7" s="91">
        <f>Table13[[#This Row],[BIDEN VOTES]]/C102</f>
        <v>9.5447589900535576E-2</v>
      </c>
      <c r="L7" s="18">
        <v>0.155</v>
      </c>
      <c r="M7" s="80">
        <f>1-(Table13[[#This Row],[NbP]]+Table13[[#This Row],[NbP2]])</f>
        <v>0.39709257842387147</v>
      </c>
    </row>
    <row r="8" spans="1:17" ht="20">
      <c r="A8" s="78" t="s">
        <v>2178</v>
      </c>
      <c r="B8" s="78" t="s">
        <v>297</v>
      </c>
      <c r="C8" s="78">
        <v>34</v>
      </c>
      <c r="D8" s="98">
        <f>Table10[[#This Row],[2019]]/C103</f>
        <v>3.1350852927616414E-3</v>
      </c>
      <c r="F8" s="16" t="s">
        <v>2228</v>
      </c>
      <c r="G8" s="17">
        <v>4002</v>
      </c>
      <c r="H8" s="80">
        <f>Table13[[#This Row],[TRUMP VOTES]]/C103</f>
        <v>0.36901798063623792</v>
      </c>
      <c r="I8" s="18">
        <v>0.77200000000000002</v>
      </c>
      <c r="J8" s="17">
        <v>1051</v>
      </c>
      <c r="K8" s="91">
        <f>Table13[[#This Row],[BIDEN VOTES]]/C103</f>
        <v>9.691101890272015E-2</v>
      </c>
      <c r="L8" s="18">
        <v>0.20300000000000001</v>
      </c>
      <c r="M8" s="80">
        <f>1-(Table13[[#This Row],[NbP]]+Table13[[#This Row],[NbP2]])</f>
        <v>0.53407100046104194</v>
      </c>
    </row>
    <row r="9" spans="1:17" ht="20">
      <c r="A9" s="78" t="s">
        <v>1578</v>
      </c>
      <c r="B9" s="78" t="s">
        <v>297</v>
      </c>
      <c r="C9" s="78">
        <v>2</v>
      </c>
      <c r="D9" s="98">
        <f>Table10[[#This Row],[2019]]/C104</f>
        <v>1.0626992561105207E-3</v>
      </c>
      <c r="F9" s="16" t="s">
        <v>1627</v>
      </c>
      <c r="G9" s="17">
        <v>1010</v>
      </c>
      <c r="H9" s="80">
        <f>Table13[[#This Row],[TRUMP VOTES]]/C104</f>
        <v>0.53666312433581298</v>
      </c>
      <c r="I9" s="18">
        <v>0.876</v>
      </c>
      <c r="J9" s="19">
        <v>135</v>
      </c>
      <c r="K9" s="91">
        <f>Table13[[#This Row],[BIDEN VOTES]]/C104</f>
        <v>7.1732199787460149E-2</v>
      </c>
      <c r="L9" s="18">
        <v>0.11700000000000001</v>
      </c>
      <c r="M9" s="80">
        <f>1-(Table13[[#This Row],[NbP]]+Table13[[#This Row],[NbP2]])</f>
        <v>0.39160467587672687</v>
      </c>
    </row>
    <row r="10" spans="1:17" ht="20">
      <c r="A10" s="78" t="s">
        <v>582</v>
      </c>
      <c r="B10" s="78" t="s">
        <v>297</v>
      </c>
      <c r="C10" s="78">
        <v>1</v>
      </c>
      <c r="D10" s="98">
        <f>Table10[[#This Row],[2019]]/C105</f>
        <v>3.4638032559750607E-4</v>
      </c>
      <c r="F10" s="16" t="s">
        <v>354</v>
      </c>
      <c r="G10" s="17">
        <v>1470</v>
      </c>
      <c r="H10" s="80">
        <f>Table13[[#This Row],[TRUMP VOTES]]/C105</f>
        <v>0.50917907862833389</v>
      </c>
      <c r="I10" s="18">
        <v>0.876</v>
      </c>
      <c r="J10" s="19">
        <v>191</v>
      </c>
      <c r="K10" s="91">
        <f>Table13[[#This Row],[BIDEN VOTES]]/C105</f>
        <v>6.6158642189123651E-2</v>
      </c>
      <c r="L10" s="18">
        <v>0.114</v>
      </c>
      <c r="M10" s="80">
        <f>1-(Table13[[#This Row],[NbP]]+Table13[[#This Row],[NbP2]])</f>
        <v>0.42466227918254251</v>
      </c>
    </row>
    <row r="11" spans="1:17" ht="20">
      <c r="A11" s="78" t="s">
        <v>2179</v>
      </c>
      <c r="B11" s="78" t="s">
        <v>297</v>
      </c>
      <c r="C11" s="78">
        <v>88</v>
      </c>
      <c r="D11" s="98">
        <f>Table10[[#This Row],[2019]]/C106</f>
        <v>1.774408194539662E-3</v>
      </c>
      <c r="F11" s="16" t="s">
        <v>2229</v>
      </c>
      <c r="G11" s="17">
        <v>16640</v>
      </c>
      <c r="H11" s="80">
        <f>Table13[[#This Row],[TRUMP VOTES]]/C106</f>
        <v>0.33552445860386337</v>
      </c>
      <c r="I11" s="18">
        <v>0.70499999999999996</v>
      </c>
      <c r="J11" s="17">
        <v>6350</v>
      </c>
      <c r="K11" s="91">
        <f>Table13[[#This Row],[BIDEN VOTES]]/C106</f>
        <v>0.12803968221962334</v>
      </c>
      <c r="L11" s="18">
        <v>0.26900000000000002</v>
      </c>
      <c r="M11" s="80">
        <f>1-(Table13[[#This Row],[NbP]]+Table13[[#This Row],[NbP2]])</f>
        <v>0.53643585917651326</v>
      </c>
    </row>
    <row r="12" spans="1:17" ht="20">
      <c r="A12" s="78" t="s">
        <v>2180</v>
      </c>
      <c r="B12" s="78" t="s">
        <v>297</v>
      </c>
      <c r="C12" s="78">
        <v>3</v>
      </c>
      <c r="D12" s="98">
        <f>Table10[[#This Row],[2019]]/C107</f>
        <v>4.6132554205751189E-4</v>
      </c>
      <c r="F12" s="16" t="s">
        <v>2230</v>
      </c>
      <c r="G12" s="17">
        <v>2580</v>
      </c>
      <c r="H12" s="80">
        <f>Table13[[#This Row],[TRUMP VOTES]]/C107</f>
        <v>0.39673996616946022</v>
      </c>
      <c r="I12" s="18">
        <v>0.69199999999999995</v>
      </c>
      <c r="J12" s="17">
        <v>1063</v>
      </c>
      <c r="K12" s="91">
        <f>Table13[[#This Row],[BIDEN VOTES]]/C107</f>
        <v>0.16346301706904506</v>
      </c>
      <c r="L12" s="18">
        <v>0.28499999999999998</v>
      </c>
      <c r="M12" s="80">
        <f>1-(Table13[[#This Row],[NbP]]+Table13[[#This Row],[NbP2]])</f>
        <v>0.43979701676149474</v>
      </c>
    </row>
    <row r="13" spans="1:17" ht="20">
      <c r="A13" s="78" t="s">
        <v>893</v>
      </c>
      <c r="B13" s="78" t="s">
        <v>297</v>
      </c>
      <c r="C13" s="78">
        <v>9</v>
      </c>
      <c r="D13" s="98">
        <f>Table10[[#This Row],[2019]]/C108</f>
        <v>1.1254220332624733E-3</v>
      </c>
      <c r="F13" s="16" t="s">
        <v>926</v>
      </c>
      <c r="G13" s="17">
        <v>3542</v>
      </c>
      <c r="H13" s="80">
        <f>Table13[[#This Row],[TRUMP VOTES]]/C108</f>
        <v>0.44291609353507566</v>
      </c>
      <c r="I13" s="18">
        <v>0.78700000000000003</v>
      </c>
      <c r="J13" s="19">
        <v>873</v>
      </c>
      <c r="K13" s="91">
        <f>Table13[[#This Row],[BIDEN VOTES]]/C108</f>
        <v>0.10916593722645992</v>
      </c>
      <c r="L13" s="18">
        <v>0.19400000000000001</v>
      </c>
      <c r="M13" s="80">
        <f>1-(Table13[[#This Row],[NbP]]+Table13[[#This Row],[NbP2]])</f>
        <v>0.44791796923846439</v>
      </c>
    </row>
    <row r="14" spans="1:17" ht="20">
      <c r="A14" s="78" t="s">
        <v>591</v>
      </c>
      <c r="B14" s="78" t="s">
        <v>297</v>
      </c>
      <c r="C14" s="78">
        <v>29</v>
      </c>
      <c r="D14" s="98">
        <f>Table10[[#This Row],[2019]]/C109</f>
        <v>1.1144416263161941E-3</v>
      </c>
      <c r="F14" s="16" t="s">
        <v>363</v>
      </c>
      <c r="G14" s="17">
        <v>10121</v>
      </c>
      <c r="H14" s="80">
        <f>Table13[[#This Row],[TRUMP VOTES]]/C109</f>
        <v>0.3889401275843517</v>
      </c>
      <c r="I14" s="18">
        <v>0.66200000000000003</v>
      </c>
      <c r="J14" s="17">
        <v>4737</v>
      </c>
      <c r="K14" s="91">
        <f>Table13[[#This Row],[BIDEN VOTES]]/C109</f>
        <v>0.18203827530551073</v>
      </c>
      <c r="L14" s="18">
        <v>0.31</v>
      </c>
      <c r="M14" s="80">
        <f>1-(Table13[[#This Row],[NbP]]+Table13[[#This Row],[NbP2]])</f>
        <v>0.42902159711013754</v>
      </c>
    </row>
    <row r="15" spans="1:17" ht="20">
      <c r="A15" s="78" t="s">
        <v>1497</v>
      </c>
      <c r="B15" s="78" t="s">
        <v>297</v>
      </c>
      <c r="C15" s="78">
        <v>7</v>
      </c>
      <c r="D15" s="98">
        <f>Table10[[#This Row],[2019]]/C110</f>
        <v>8.2517977130732053E-4</v>
      </c>
      <c r="F15" s="16" t="s">
        <v>1539</v>
      </c>
      <c r="G15" s="17">
        <v>4174</v>
      </c>
      <c r="H15" s="80">
        <f>Table13[[#This Row],[TRUMP VOTES]]/C110</f>
        <v>0.49204290934810796</v>
      </c>
      <c r="I15" s="18">
        <v>0.83499999999999996</v>
      </c>
      <c r="J15" s="19">
        <v>725</v>
      </c>
      <c r="K15" s="91">
        <f>Table13[[#This Row],[BIDEN VOTES]]/C110</f>
        <v>8.5465047742543918E-2</v>
      </c>
      <c r="L15" s="18">
        <v>0.14499999999999999</v>
      </c>
      <c r="M15" s="80">
        <f>1-(Table13[[#This Row],[NbP]]+Table13[[#This Row],[NbP2]])</f>
        <v>0.42249204290934816</v>
      </c>
    </row>
    <row r="16" spans="1:17" ht="20">
      <c r="A16" s="78" t="s">
        <v>2181</v>
      </c>
      <c r="B16" s="78" t="s">
        <v>297</v>
      </c>
      <c r="C16" s="78">
        <v>0</v>
      </c>
      <c r="D16" s="98">
        <f>Table10[[#This Row],[2019]]/C111</f>
        <v>0</v>
      </c>
      <c r="F16" s="16" t="s">
        <v>2231</v>
      </c>
      <c r="G16" s="17">
        <v>1740</v>
      </c>
      <c r="H16" s="80">
        <f>Table13[[#This Row],[TRUMP VOTES]]/C111</f>
        <v>0.46938224979768006</v>
      </c>
      <c r="I16" s="18">
        <v>0.873</v>
      </c>
      <c r="J16" s="19">
        <v>226</v>
      </c>
      <c r="K16" s="91">
        <f>Table13[[#This Row],[BIDEN VOTES]]/C111</f>
        <v>6.0965740490963045E-2</v>
      </c>
      <c r="L16" s="18">
        <v>0.113</v>
      </c>
      <c r="M16" s="80">
        <f>1-(Table13[[#This Row],[NbP]]+Table13[[#This Row],[NbP2]])</f>
        <v>0.4696520097113569</v>
      </c>
    </row>
    <row r="17" spans="1:13" ht="20">
      <c r="A17" s="78" t="s">
        <v>2182</v>
      </c>
      <c r="B17" s="78" t="s">
        <v>297</v>
      </c>
      <c r="C17" s="78">
        <v>14</v>
      </c>
      <c r="D17" s="98">
        <f>Table10[[#This Row],[2019]]/C112</f>
        <v>2.4133770039648336E-3</v>
      </c>
      <c r="F17" s="16" t="s">
        <v>2232</v>
      </c>
      <c r="G17" s="17">
        <v>2844</v>
      </c>
      <c r="H17" s="80">
        <f>Table13[[#This Row],[TRUMP VOTES]]/C112</f>
        <v>0.49026029994828479</v>
      </c>
      <c r="I17" s="18">
        <v>0.871</v>
      </c>
      <c r="J17" s="19">
        <v>373</v>
      </c>
      <c r="K17" s="91">
        <f>Table13[[#This Row],[BIDEN VOTES]]/C112</f>
        <v>6.4299258748491642E-2</v>
      </c>
      <c r="L17" s="18">
        <v>0.114</v>
      </c>
      <c r="M17" s="80">
        <f>1-(Table13[[#This Row],[NbP]]+Table13[[#This Row],[NbP2]])</f>
        <v>0.44544044130322358</v>
      </c>
    </row>
    <row r="18" spans="1:13" ht="20">
      <c r="A18" s="78" t="s">
        <v>1103</v>
      </c>
      <c r="B18" s="78" t="s">
        <v>297</v>
      </c>
      <c r="C18" s="78">
        <v>17</v>
      </c>
      <c r="D18" s="98">
        <f>Table10[[#This Row],[2019]]/C113</f>
        <v>1.8031395842172252E-3</v>
      </c>
      <c r="F18" s="16" t="s">
        <v>1152</v>
      </c>
      <c r="G18" s="17">
        <v>3813</v>
      </c>
      <c r="H18" s="80">
        <f>Table13[[#This Row],[TRUMP VOTES]]/C113</f>
        <v>0.40443360203648704</v>
      </c>
      <c r="I18" s="18">
        <v>0.8</v>
      </c>
      <c r="J18" s="19">
        <v>855</v>
      </c>
      <c r="K18" s="91">
        <f>Table13[[#This Row],[BIDEN VOTES]]/C113</f>
        <v>9.0687314382689857E-2</v>
      </c>
      <c r="L18" s="18">
        <v>0.17899999999999999</v>
      </c>
      <c r="M18" s="80">
        <f>1-(Table13[[#This Row],[NbP]]+Table13[[#This Row],[NbP2]])</f>
        <v>0.50487908358082312</v>
      </c>
    </row>
    <row r="19" spans="1:13" ht="20">
      <c r="A19" s="78" t="s">
        <v>84</v>
      </c>
      <c r="B19" s="78" t="s">
        <v>297</v>
      </c>
      <c r="C19" s="78">
        <v>10</v>
      </c>
      <c r="D19" s="98">
        <f>Table10[[#This Row],[2019]]/C114</f>
        <v>1.6147263038914905E-3</v>
      </c>
      <c r="F19" s="16" t="s">
        <v>183</v>
      </c>
      <c r="G19" s="17">
        <v>2848</v>
      </c>
      <c r="H19" s="80">
        <f>Table13[[#This Row],[TRUMP VOTES]]/C114</f>
        <v>0.45987405134829645</v>
      </c>
      <c r="I19" s="18">
        <v>0.8</v>
      </c>
      <c r="J19" s="19">
        <v>632</v>
      </c>
      <c r="K19" s="91">
        <f>Table13[[#This Row],[BIDEN VOTES]]/C114</f>
        <v>0.10205070240594219</v>
      </c>
      <c r="L19" s="18">
        <v>0.17799999999999999</v>
      </c>
      <c r="M19" s="80">
        <f>1-(Table13[[#This Row],[NbP]]+Table13[[#This Row],[NbP2]])</f>
        <v>0.43807524624576133</v>
      </c>
    </row>
    <row r="20" spans="1:13" ht="20">
      <c r="A20" s="78" t="s">
        <v>2183</v>
      </c>
      <c r="B20" s="78" t="s">
        <v>297</v>
      </c>
      <c r="C20" s="78">
        <v>11</v>
      </c>
      <c r="D20" s="98">
        <f>Table10[[#This Row],[2019]]/C115</f>
        <v>1.0298661174047373E-3</v>
      </c>
      <c r="F20" s="16" t="s">
        <v>2233</v>
      </c>
      <c r="G20" s="17">
        <v>2636</v>
      </c>
      <c r="H20" s="80">
        <f>Table13[[#This Row],[TRUMP VOTES]]/C115</f>
        <v>0.24679337140717161</v>
      </c>
      <c r="I20" s="18">
        <v>0.70899999999999996</v>
      </c>
      <c r="J20" s="17">
        <v>1025</v>
      </c>
      <c r="K20" s="91">
        <f>Table13[[#This Row],[BIDEN VOTES]]/C115</f>
        <v>9.5964797303623256E-2</v>
      </c>
      <c r="L20" s="18">
        <v>0.27600000000000002</v>
      </c>
      <c r="M20" s="80">
        <f>1-(Table13[[#This Row],[NbP]]+Table13[[#This Row],[NbP2]])</f>
        <v>0.6572418312892051</v>
      </c>
    </row>
    <row r="21" spans="1:13" ht="20">
      <c r="A21" s="78" t="s">
        <v>2184</v>
      </c>
      <c r="B21" s="78" t="s">
        <v>297</v>
      </c>
      <c r="C21" s="78">
        <v>1</v>
      </c>
      <c r="D21" s="98">
        <f>Table10[[#This Row],[2019]]/C116</f>
        <v>1.1258725512272011E-4</v>
      </c>
      <c r="F21" s="16" t="s">
        <v>2234</v>
      </c>
      <c r="G21" s="17">
        <v>3507</v>
      </c>
      <c r="H21" s="80">
        <f>Table13[[#This Row],[TRUMP VOTES]]/C116</f>
        <v>0.39484350371537941</v>
      </c>
      <c r="I21" s="18">
        <v>0.78800000000000003</v>
      </c>
      <c r="J21" s="19">
        <v>870</v>
      </c>
      <c r="K21" s="91">
        <f>Table13[[#This Row],[BIDEN VOTES]]/C116</f>
        <v>9.7950911956766487E-2</v>
      </c>
      <c r="L21" s="18">
        <v>0.19500000000000001</v>
      </c>
      <c r="M21" s="80">
        <f>1-(Table13[[#This Row],[NbP]]+Table13[[#This Row],[NbP2]])</f>
        <v>0.50720558432785412</v>
      </c>
    </row>
    <row r="22" spans="1:13" ht="20">
      <c r="A22" s="78" t="s">
        <v>1108</v>
      </c>
      <c r="B22" s="78" t="s">
        <v>297</v>
      </c>
      <c r="C22" s="78">
        <v>22</v>
      </c>
      <c r="D22" s="98">
        <f>Table10[[#This Row],[2019]]/C117</f>
        <v>2.0393029291805708E-3</v>
      </c>
      <c r="F22" s="16" t="s">
        <v>1157</v>
      </c>
      <c r="G22" s="17">
        <v>5090</v>
      </c>
      <c r="H22" s="80">
        <f>Table13[[#This Row],[TRUMP VOTES]]/C117</f>
        <v>0.47182054134223211</v>
      </c>
      <c r="I22" s="18">
        <v>0.84899999999999998</v>
      </c>
      <c r="J22" s="19">
        <v>786</v>
      </c>
      <c r="K22" s="91">
        <f>Table13[[#This Row],[BIDEN VOTES]]/C117</f>
        <v>7.2858731924360404E-2</v>
      </c>
      <c r="L22" s="18">
        <v>0.13100000000000001</v>
      </c>
      <c r="M22" s="80">
        <f>1-(Table13[[#This Row],[NbP]]+Table13[[#This Row],[NbP2]])</f>
        <v>0.45532072673340751</v>
      </c>
    </row>
    <row r="23" spans="1:13" ht="20">
      <c r="A23" s="78" t="s">
        <v>1889</v>
      </c>
      <c r="B23" s="78" t="s">
        <v>297</v>
      </c>
      <c r="C23" s="78">
        <v>27</v>
      </c>
      <c r="D23" s="98">
        <f>Table10[[#This Row],[2019]]/C118</f>
        <v>1.3416815742397137E-3</v>
      </c>
      <c r="F23" s="16" t="s">
        <v>1955</v>
      </c>
      <c r="G23" s="17">
        <v>3926</v>
      </c>
      <c r="H23" s="80">
        <f>Table13[[#This Row],[TRUMP VOTES]]/C118</f>
        <v>0.19509043927648578</v>
      </c>
      <c r="I23" s="18">
        <v>0.57799999999999996</v>
      </c>
      <c r="J23" s="17">
        <v>2744</v>
      </c>
      <c r="K23" s="91">
        <f>Table13[[#This Row],[BIDEN VOTES]]/C118</f>
        <v>0.13635460147088055</v>
      </c>
      <c r="L23" s="18">
        <v>0.40400000000000003</v>
      </c>
      <c r="M23" s="80">
        <f>1-(Table13[[#This Row],[NbP]]+Table13[[#This Row],[NbP2]])</f>
        <v>0.66855495925263364</v>
      </c>
    </row>
    <row r="24" spans="1:13" ht="20">
      <c r="A24" s="78" t="s">
        <v>2185</v>
      </c>
      <c r="B24" s="78" t="s">
        <v>297</v>
      </c>
      <c r="C24" s="78">
        <v>24</v>
      </c>
      <c r="D24" s="98">
        <f>Table10[[#This Row],[2019]]/C119</f>
        <v>2.7633851468048358E-3</v>
      </c>
      <c r="F24" s="16" t="s">
        <v>2235</v>
      </c>
      <c r="G24" s="17">
        <v>2931</v>
      </c>
      <c r="H24" s="80">
        <f>Table13[[#This Row],[TRUMP VOTES]]/C119</f>
        <v>0.33747841105354059</v>
      </c>
      <c r="I24" s="18">
        <v>0.71099999999999997</v>
      </c>
      <c r="J24" s="17">
        <v>1082</v>
      </c>
      <c r="K24" s="91">
        <f>Table13[[#This Row],[BIDEN VOTES]]/C119</f>
        <v>0.12458261370178468</v>
      </c>
      <c r="L24" s="18">
        <v>0.26300000000000001</v>
      </c>
      <c r="M24" s="80">
        <f>1-(Table13[[#This Row],[NbP]]+Table13[[#This Row],[NbP2]])</f>
        <v>0.53793897524467471</v>
      </c>
    </row>
    <row r="25" spans="1:13" ht="20">
      <c r="A25" s="78" t="s">
        <v>612</v>
      </c>
      <c r="B25" s="78" t="s">
        <v>297</v>
      </c>
      <c r="C25" s="78">
        <v>53</v>
      </c>
      <c r="D25" s="98">
        <f>Table10[[#This Row],[2019]]/C120</f>
        <v>2.242152466367713E-3</v>
      </c>
      <c r="F25" s="16" t="s">
        <v>385</v>
      </c>
      <c r="G25" s="17">
        <v>6524</v>
      </c>
      <c r="H25" s="80">
        <f>Table13[[#This Row],[TRUMP VOTES]]/C120</f>
        <v>0.27599627718081055</v>
      </c>
      <c r="I25" s="18">
        <v>0.71099999999999997</v>
      </c>
      <c r="J25" s="17">
        <v>2497</v>
      </c>
      <c r="K25" s="91">
        <f>Table13[[#This Row],[BIDEN VOTES]]/C120</f>
        <v>0.10563499450038075</v>
      </c>
      <c r="L25" s="18">
        <v>0.27200000000000002</v>
      </c>
      <c r="M25" s="80">
        <f>1-(Table13[[#This Row],[NbP]]+Table13[[#This Row],[NbP2]])</f>
        <v>0.61836872831880874</v>
      </c>
    </row>
    <row r="26" spans="1:13" ht="20">
      <c r="A26" s="78" t="s">
        <v>2186</v>
      </c>
      <c r="B26" s="78" t="s">
        <v>297</v>
      </c>
      <c r="C26" s="78">
        <v>1</v>
      </c>
      <c r="D26" s="98">
        <f>Table10[[#This Row],[2019]]/C121</f>
        <v>5.649717514124294E-4</v>
      </c>
      <c r="F26" s="16" t="s">
        <v>2236</v>
      </c>
      <c r="G26" s="19">
        <v>871</v>
      </c>
      <c r="H26" s="80">
        <f>Table13[[#This Row],[TRUMP VOTES]]/C121</f>
        <v>0.49209039548022598</v>
      </c>
      <c r="I26" s="18">
        <v>0.84399999999999997</v>
      </c>
      <c r="J26" s="19">
        <v>141</v>
      </c>
      <c r="K26" s="91">
        <f>Table13[[#This Row],[BIDEN VOTES]]/C121</f>
        <v>7.9661016949152536E-2</v>
      </c>
      <c r="L26" s="18">
        <v>0.13700000000000001</v>
      </c>
      <c r="M26" s="80">
        <f>1-(Table13[[#This Row],[NbP]]+Table13[[#This Row],[NbP2]])</f>
        <v>0.42824858757062145</v>
      </c>
    </row>
    <row r="27" spans="1:13" ht="20">
      <c r="A27" s="78" t="s">
        <v>2187</v>
      </c>
      <c r="B27" s="78" t="s">
        <v>297</v>
      </c>
      <c r="C27" s="78">
        <v>3</v>
      </c>
      <c r="D27" s="98">
        <f>Table10[[#This Row],[2019]]/C122</f>
        <v>5.2798310454065466E-4</v>
      </c>
      <c r="F27" s="16" t="s">
        <v>2237</v>
      </c>
      <c r="G27" s="17">
        <v>2335</v>
      </c>
      <c r="H27" s="80">
        <f>Table13[[#This Row],[TRUMP VOTES]]/C122</f>
        <v>0.41094684970080958</v>
      </c>
      <c r="I27" s="18">
        <v>0.75700000000000001</v>
      </c>
      <c r="J27" s="19">
        <v>651</v>
      </c>
      <c r="K27" s="91">
        <f>Table13[[#This Row],[BIDEN VOTES]]/C122</f>
        <v>0.11457233368532208</v>
      </c>
      <c r="L27" s="18">
        <v>0.21099999999999999</v>
      </c>
      <c r="M27" s="80">
        <f>1-(Table13[[#This Row],[NbP]]+Table13[[#This Row],[NbP2]])</f>
        <v>0.47448081661386832</v>
      </c>
    </row>
    <row r="28" spans="1:13" ht="20">
      <c r="A28" s="78" t="s">
        <v>1241</v>
      </c>
      <c r="B28" s="78" t="s">
        <v>297</v>
      </c>
      <c r="C28" s="78">
        <v>66</v>
      </c>
      <c r="D28" s="98">
        <f>Table10[[#This Row],[2019]]/C123</f>
        <v>1.8050047859975386E-3</v>
      </c>
      <c r="F28" s="16" t="s">
        <v>1334</v>
      </c>
      <c r="G28" s="17">
        <v>10984</v>
      </c>
      <c r="H28" s="80">
        <f>Table13[[#This Row],[TRUMP VOTES]]/C123</f>
        <v>0.30039655408177218</v>
      </c>
      <c r="I28" s="18">
        <v>0.65100000000000002</v>
      </c>
      <c r="J28" s="17">
        <v>5544</v>
      </c>
      <c r="K28" s="91">
        <f>Table13[[#This Row],[BIDEN VOTES]]/C123</f>
        <v>0.15162040202379323</v>
      </c>
      <c r="L28" s="18">
        <v>0.32900000000000001</v>
      </c>
      <c r="M28" s="80">
        <f>1-(Table13[[#This Row],[NbP]]+Table13[[#This Row],[NbP2]])</f>
        <v>0.54798304389443464</v>
      </c>
    </row>
    <row r="29" spans="1:13" ht="20">
      <c r="A29" s="78" t="s">
        <v>315</v>
      </c>
      <c r="B29" s="78" t="s">
        <v>297</v>
      </c>
      <c r="C29" s="97">
        <v>1205</v>
      </c>
      <c r="D29" s="98">
        <f>Table10[[#This Row],[2019]]/C124</f>
        <v>2.1299574538789089E-3</v>
      </c>
      <c r="F29" s="16" t="s">
        <v>276</v>
      </c>
      <c r="G29" s="17">
        <v>119159</v>
      </c>
      <c r="H29" s="80">
        <f>Table13[[#This Row],[TRUMP VOTES]]/C124</f>
        <v>0.21062539439564887</v>
      </c>
      <c r="I29" s="18">
        <v>0.433</v>
      </c>
      <c r="J29" s="17">
        <v>150350</v>
      </c>
      <c r="K29" s="91">
        <f>Table13[[#This Row],[BIDEN VOTES]]/C124</f>
        <v>0.26575859185949707</v>
      </c>
      <c r="L29" s="18">
        <v>0.54700000000000004</v>
      </c>
      <c r="M29" s="80">
        <f>1-(Table13[[#This Row],[NbP]]+Table13[[#This Row],[NbP2]])</f>
        <v>0.523616013744854</v>
      </c>
    </row>
    <row r="30" spans="1:13" ht="20">
      <c r="A30" s="78" t="s">
        <v>2188</v>
      </c>
      <c r="B30" s="78" t="s">
        <v>297</v>
      </c>
      <c r="C30" s="78">
        <v>0</v>
      </c>
      <c r="D30" s="98">
        <f>Table10[[#This Row],[2019]]/C125</f>
        <v>0</v>
      </c>
      <c r="F30" s="16" t="s">
        <v>2238</v>
      </c>
      <c r="G30" s="19">
        <v>883</v>
      </c>
      <c r="H30" s="80">
        <f>Table13[[#This Row],[TRUMP VOTES]]/C125</f>
        <v>0.4579875518672199</v>
      </c>
      <c r="I30" s="18">
        <v>0.88400000000000001</v>
      </c>
      <c r="J30" s="19">
        <v>105</v>
      </c>
      <c r="K30" s="91">
        <f>Table13[[#This Row],[BIDEN VOTES]]/C125</f>
        <v>5.4460580912863071E-2</v>
      </c>
      <c r="L30" s="18">
        <v>0.105</v>
      </c>
      <c r="M30" s="80">
        <f>1-(Table13[[#This Row],[NbP]]+Table13[[#This Row],[NbP2]])</f>
        <v>0.48755186721991706</v>
      </c>
    </row>
    <row r="31" spans="1:13" ht="20">
      <c r="A31" s="78" t="s">
        <v>1891</v>
      </c>
      <c r="B31" s="78" t="s">
        <v>297</v>
      </c>
      <c r="C31" s="78">
        <v>5</v>
      </c>
      <c r="D31" s="98">
        <f>Table10[[#This Row],[2019]]/C126</f>
        <v>9.0220137134608446E-4</v>
      </c>
      <c r="F31" s="16" t="s">
        <v>1957</v>
      </c>
      <c r="G31" s="17">
        <v>2359</v>
      </c>
      <c r="H31" s="80">
        <f>Table13[[#This Row],[TRUMP VOTES]]/C126</f>
        <v>0.42565860700108266</v>
      </c>
      <c r="I31" s="18">
        <v>0.753</v>
      </c>
      <c r="J31" s="19">
        <v>693</v>
      </c>
      <c r="K31" s="91">
        <f>Table13[[#This Row],[BIDEN VOTES]]/C126</f>
        <v>0.12504511006856731</v>
      </c>
      <c r="L31" s="18">
        <v>0.221</v>
      </c>
      <c r="M31" s="80">
        <f>1-(Table13[[#This Row],[NbP]]+Table13[[#This Row],[NbP2]])</f>
        <v>0.44929628293035007</v>
      </c>
    </row>
    <row r="32" spans="1:13" ht="20">
      <c r="A32" s="78" t="s">
        <v>96</v>
      </c>
      <c r="B32" s="78" t="s">
        <v>297</v>
      </c>
      <c r="C32" s="78">
        <v>1</v>
      </c>
      <c r="D32" s="98">
        <f>Table10[[#This Row],[2019]]/C127</f>
        <v>3.3670033670033672E-4</v>
      </c>
      <c r="F32" s="16" t="s">
        <v>195</v>
      </c>
      <c r="G32" s="17">
        <v>1437</v>
      </c>
      <c r="H32" s="80">
        <f>Table13[[#This Row],[TRUMP VOTES]]/C127</f>
        <v>0.48383838383838385</v>
      </c>
      <c r="I32" s="18">
        <v>0.83399999999999996</v>
      </c>
      <c r="J32" s="19">
        <v>276</v>
      </c>
      <c r="K32" s="91">
        <f>Table13[[#This Row],[BIDEN VOTES]]/C127</f>
        <v>9.2929292929292931E-2</v>
      </c>
      <c r="L32" s="18">
        <v>0.16</v>
      </c>
      <c r="M32" s="80">
        <f>1-(Table13[[#This Row],[NbP]]+Table13[[#This Row],[NbP2]])</f>
        <v>0.42323232323232318</v>
      </c>
    </row>
    <row r="33" spans="1:13" ht="20">
      <c r="A33" s="78" t="s">
        <v>2189</v>
      </c>
      <c r="B33" s="78" t="s">
        <v>297</v>
      </c>
      <c r="C33" s="78">
        <v>0</v>
      </c>
      <c r="D33" s="98">
        <f>Table10[[#This Row],[2019]]/C128</f>
        <v>0</v>
      </c>
      <c r="F33" s="16" t="s">
        <v>2239</v>
      </c>
      <c r="G33" s="17">
        <v>1229</v>
      </c>
      <c r="H33" s="80">
        <f>Table13[[#This Row],[TRUMP VOTES]]/C128</f>
        <v>0.46623672230652502</v>
      </c>
      <c r="I33" s="18">
        <v>0.85299999999999998</v>
      </c>
      <c r="J33" s="19">
        <v>189</v>
      </c>
      <c r="K33" s="91">
        <f>Table13[[#This Row],[BIDEN VOTES]]/C128</f>
        <v>7.1699544764795148E-2</v>
      </c>
      <c r="L33" s="18">
        <v>0.13100000000000001</v>
      </c>
      <c r="M33" s="80">
        <f>1-(Table13[[#This Row],[NbP]]+Table13[[#This Row],[NbP2]])</f>
        <v>0.46206373292867986</v>
      </c>
    </row>
    <row r="34" spans="1:13" ht="20">
      <c r="A34" s="78" t="s">
        <v>2190</v>
      </c>
      <c r="B34" s="78" t="s">
        <v>297</v>
      </c>
      <c r="C34" s="78">
        <v>0</v>
      </c>
      <c r="D34" s="98">
        <f>Table10[[#This Row],[2019]]/C129</f>
        <v>0</v>
      </c>
      <c r="F34" s="16" t="s">
        <v>2240</v>
      </c>
      <c r="G34" s="17">
        <v>2163</v>
      </c>
      <c r="H34" s="80">
        <f>Table13[[#This Row],[TRUMP VOTES]]/C129</f>
        <v>0.45904074702886249</v>
      </c>
      <c r="I34" s="18">
        <v>0.83199999999999996</v>
      </c>
      <c r="J34" s="19">
        <v>399</v>
      </c>
      <c r="K34" s="91">
        <f>Table13[[#This Row],[BIDEN VOTES]]/C129</f>
        <v>8.4677419354838704E-2</v>
      </c>
      <c r="L34" s="18">
        <v>0.153</v>
      </c>
      <c r="M34" s="80">
        <f>1-(Table13[[#This Row],[NbP]]+Table13[[#This Row],[NbP2]])</f>
        <v>0.45628183361629882</v>
      </c>
    </row>
    <row r="35" spans="1:13" ht="20">
      <c r="A35" s="78" t="s">
        <v>2191</v>
      </c>
      <c r="B35" s="78" t="s">
        <v>297</v>
      </c>
      <c r="C35" s="78">
        <v>32</v>
      </c>
      <c r="D35" s="98">
        <f>Table10[[#This Row],[2019]]/C130</f>
        <v>1.4850566177835531E-3</v>
      </c>
      <c r="F35" s="16" t="s">
        <v>2241</v>
      </c>
      <c r="G35" s="17">
        <v>7445</v>
      </c>
      <c r="H35" s="80">
        <f>Table13[[#This Row],[TRUMP VOTES]]/C130</f>
        <v>0.34550770373120476</v>
      </c>
      <c r="I35" s="18">
        <v>0.67300000000000004</v>
      </c>
      <c r="J35" s="17">
        <v>3385</v>
      </c>
      <c r="K35" s="91">
        <f>Table13[[#This Row],[BIDEN VOTES]]/C130</f>
        <v>0.15709114534991647</v>
      </c>
      <c r="L35" s="18">
        <v>0.30599999999999999</v>
      </c>
      <c r="M35" s="80">
        <f>1-(Table13[[#This Row],[NbP]]+Table13[[#This Row],[NbP2]])</f>
        <v>0.49740115091887871</v>
      </c>
    </row>
    <row r="36" spans="1:13" ht="20">
      <c r="A36" s="78" t="s">
        <v>2192</v>
      </c>
      <c r="B36" s="78" t="s">
        <v>297</v>
      </c>
      <c r="C36" s="78">
        <v>1</v>
      </c>
      <c r="D36" s="98">
        <f>Table10[[#This Row],[2019]]/C131</f>
        <v>5.2192066805845506E-4</v>
      </c>
      <c r="F36" s="16" t="s">
        <v>2242</v>
      </c>
      <c r="G36" s="17">
        <v>1016</v>
      </c>
      <c r="H36" s="80">
        <f>Table13[[#This Row],[TRUMP VOTES]]/C131</f>
        <v>0.53027139874739038</v>
      </c>
      <c r="I36" s="18">
        <v>0.85</v>
      </c>
      <c r="J36" s="19">
        <v>161</v>
      </c>
      <c r="K36" s="91">
        <f>Table13[[#This Row],[BIDEN VOTES]]/C131</f>
        <v>8.4029227557411268E-2</v>
      </c>
      <c r="L36" s="18">
        <v>0.13500000000000001</v>
      </c>
      <c r="M36" s="80">
        <f>1-(Table13[[#This Row],[NbP]]+Table13[[#This Row],[NbP2]])</f>
        <v>0.38569937369519836</v>
      </c>
    </row>
    <row r="37" spans="1:13" ht="20">
      <c r="A37" s="78" t="s">
        <v>1114</v>
      </c>
      <c r="B37" s="78" t="s">
        <v>297</v>
      </c>
      <c r="C37" s="78">
        <v>0</v>
      </c>
      <c r="D37" s="98">
        <f>Table10[[#This Row],[2019]]/C132</f>
        <v>0</v>
      </c>
      <c r="F37" s="16" t="s">
        <v>1163</v>
      </c>
      <c r="G37" s="19">
        <v>933</v>
      </c>
      <c r="H37" s="80">
        <f>Table13[[#This Row],[TRUMP VOTES]]/C132</f>
        <v>0.44834214320038446</v>
      </c>
      <c r="I37" s="18">
        <v>0.86799999999999999</v>
      </c>
      <c r="J37" s="19">
        <v>133</v>
      </c>
      <c r="K37" s="91">
        <f>Table13[[#This Row],[BIDEN VOTES]]/C132</f>
        <v>6.3911580970687165E-2</v>
      </c>
      <c r="L37" s="18">
        <v>0.124</v>
      </c>
      <c r="M37" s="80">
        <f>1-(Table13[[#This Row],[NbP]]+Table13[[#This Row],[NbP2]])</f>
        <v>0.48774627582892838</v>
      </c>
    </row>
    <row r="38" spans="1:13" ht="20">
      <c r="A38" s="78" t="s">
        <v>2193</v>
      </c>
      <c r="B38" s="78" t="s">
        <v>297</v>
      </c>
      <c r="C38" s="78">
        <v>0</v>
      </c>
      <c r="D38" s="98">
        <f>Table10[[#This Row],[2019]]/C133</f>
        <v>0</v>
      </c>
      <c r="F38" s="16" t="s">
        <v>2243</v>
      </c>
      <c r="G38" s="19">
        <v>893</v>
      </c>
      <c r="H38" s="80">
        <f>Table13[[#This Row],[TRUMP VOTES]]/C133</f>
        <v>0.44627686156921537</v>
      </c>
      <c r="I38" s="18">
        <v>0.79900000000000004</v>
      </c>
      <c r="J38" s="19">
        <v>215</v>
      </c>
      <c r="K38" s="91">
        <f>Table13[[#This Row],[BIDEN VOTES]]/C133</f>
        <v>0.10744627686156921</v>
      </c>
      <c r="L38" s="18">
        <v>0.192</v>
      </c>
      <c r="M38" s="80">
        <f>1-(Table13[[#This Row],[NbP]]+Table13[[#This Row],[NbP2]])</f>
        <v>0.44627686156921542</v>
      </c>
    </row>
    <row r="39" spans="1:13" ht="20">
      <c r="A39" s="78" t="s">
        <v>313</v>
      </c>
      <c r="B39" s="78" t="s">
        <v>297</v>
      </c>
      <c r="C39" s="78">
        <v>0</v>
      </c>
      <c r="D39" s="98">
        <f>Table10[[#This Row],[2019]]/C134</f>
        <v>0</v>
      </c>
      <c r="F39" s="16" t="s">
        <v>278</v>
      </c>
      <c r="G39" s="19">
        <v>375</v>
      </c>
      <c r="H39" s="80">
        <f>Table13[[#This Row],[TRUMP VOTES]]/C134</f>
        <v>0.54269175108538348</v>
      </c>
      <c r="I39" s="18">
        <v>0.93300000000000005</v>
      </c>
      <c r="J39" s="19">
        <v>20</v>
      </c>
      <c r="K39" s="91">
        <f>Table13[[#This Row],[BIDEN VOTES]]/C134</f>
        <v>2.8943560057887119E-2</v>
      </c>
      <c r="L39" s="18">
        <v>0.05</v>
      </c>
      <c r="M39" s="80">
        <f>1-(Table13[[#This Row],[NbP]]+Table13[[#This Row],[NbP2]])</f>
        <v>0.4283646888567294</v>
      </c>
    </row>
    <row r="40" spans="1:13" ht="20">
      <c r="A40" s="78" t="s">
        <v>2194</v>
      </c>
      <c r="B40" s="78" t="s">
        <v>297</v>
      </c>
      <c r="C40" s="78">
        <v>1</v>
      </c>
      <c r="D40" s="98">
        <f>Table10[[#This Row],[2019]]/C135</f>
        <v>4.2354934349851756E-4</v>
      </c>
      <c r="F40" s="16" t="s">
        <v>2244</v>
      </c>
      <c r="G40" s="17">
        <v>1016</v>
      </c>
      <c r="H40" s="80">
        <f>Table13[[#This Row],[TRUMP VOTES]]/C135</f>
        <v>0.43032613299449385</v>
      </c>
      <c r="I40" s="18">
        <v>0.80800000000000005</v>
      </c>
      <c r="J40" s="19">
        <v>229</v>
      </c>
      <c r="K40" s="91">
        <f>Table13[[#This Row],[BIDEN VOTES]]/C135</f>
        <v>9.699279966116052E-2</v>
      </c>
      <c r="L40" s="18">
        <v>0.182</v>
      </c>
      <c r="M40" s="80">
        <f>1-(Table13[[#This Row],[NbP]]+Table13[[#This Row],[NbP2]])</f>
        <v>0.47268106734434567</v>
      </c>
    </row>
    <row r="41" spans="1:13" ht="20">
      <c r="A41" s="78" t="s">
        <v>648</v>
      </c>
      <c r="B41" s="78" t="s">
        <v>297</v>
      </c>
      <c r="C41" s="78">
        <v>62</v>
      </c>
      <c r="D41" s="98">
        <f>Table10[[#This Row],[2019]]/C136</f>
        <v>1.0107926570804395E-3</v>
      </c>
      <c r="F41" s="16" t="s">
        <v>421</v>
      </c>
      <c r="G41" s="17">
        <v>16189</v>
      </c>
      <c r="H41" s="80">
        <f>Table13[[#This Row],[TRUMP VOTES]]/C136</f>
        <v>0.26393100524960056</v>
      </c>
      <c r="I41" s="18">
        <v>0.66400000000000003</v>
      </c>
      <c r="J41" s="17">
        <v>7681</v>
      </c>
      <c r="K41" s="91">
        <f>Table13[[#This Row],[BIDEN VOTES]]/C136</f>
        <v>0.12522416772636866</v>
      </c>
      <c r="L41" s="18">
        <v>0.315</v>
      </c>
      <c r="M41" s="80">
        <f>1-(Table13[[#This Row],[NbP]]+Table13[[#This Row],[NbP2]])</f>
        <v>0.61084482702403076</v>
      </c>
    </row>
    <row r="42" spans="1:13" ht="20">
      <c r="A42" s="78" t="s">
        <v>103</v>
      </c>
      <c r="B42" s="78" t="s">
        <v>297</v>
      </c>
      <c r="C42" s="78">
        <v>9</v>
      </c>
      <c r="D42" s="98">
        <f>Table10[[#This Row],[2019]]/C137</f>
        <v>9.7624471200780994E-4</v>
      </c>
      <c r="F42" s="16" t="s">
        <v>202</v>
      </c>
      <c r="G42" s="17">
        <v>4309</v>
      </c>
      <c r="H42" s="80">
        <f>Table13[[#This Row],[TRUMP VOTES]]/C137</f>
        <v>0.4674042737824059</v>
      </c>
      <c r="I42" s="18">
        <v>0.77900000000000003</v>
      </c>
      <c r="J42" s="17">
        <v>1118</v>
      </c>
      <c r="K42" s="91">
        <f>Table13[[#This Row],[BIDEN VOTES]]/C137</f>
        <v>0.12127128755830351</v>
      </c>
      <c r="L42" s="18">
        <v>0.20200000000000001</v>
      </c>
      <c r="M42" s="80">
        <f>1-(Table13[[#This Row],[NbP]]+Table13[[#This Row],[NbP2]])</f>
        <v>0.41132443865929058</v>
      </c>
    </row>
    <row r="43" spans="1:13" ht="20">
      <c r="A43" s="78" t="s">
        <v>1598</v>
      </c>
      <c r="B43" s="78" t="s">
        <v>297</v>
      </c>
      <c r="C43" s="78">
        <v>3</v>
      </c>
      <c r="D43" s="98">
        <f>Table10[[#This Row],[2019]]/C138</f>
        <v>8.8757396449704138E-4</v>
      </c>
      <c r="F43" s="16" t="s">
        <v>1645</v>
      </c>
      <c r="G43" s="17">
        <v>1615</v>
      </c>
      <c r="H43" s="80">
        <f>Table13[[#This Row],[TRUMP VOTES]]/C138</f>
        <v>0.47781065088757396</v>
      </c>
      <c r="I43" s="18">
        <v>0.83799999999999997</v>
      </c>
      <c r="J43" s="19">
        <v>282</v>
      </c>
      <c r="K43" s="91">
        <f>Table13[[#This Row],[BIDEN VOTES]]/C138</f>
        <v>8.3431952662721895E-2</v>
      </c>
      <c r="L43" s="18">
        <v>0.14599999999999999</v>
      </c>
      <c r="M43" s="80">
        <f>1-(Table13[[#This Row],[NbP]]+Table13[[#This Row],[NbP2]])</f>
        <v>0.43875739644970413</v>
      </c>
    </row>
    <row r="44" spans="1:13" ht="20">
      <c r="A44" s="78" t="s">
        <v>2195</v>
      </c>
      <c r="B44" s="78" t="s">
        <v>297</v>
      </c>
      <c r="C44" s="78">
        <v>0</v>
      </c>
      <c r="D44" s="98">
        <f>Table10[[#This Row],[2019]]/C139</f>
        <v>0</v>
      </c>
      <c r="F44" s="16" t="s">
        <v>2245</v>
      </c>
      <c r="G44" s="19">
        <v>494</v>
      </c>
      <c r="H44" s="80">
        <f>Table13[[#This Row],[TRUMP VOTES]]/C139</f>
        <v>0.55568053993250843</v>
      </c>
      <c r="I44" s="18">
        <v>0.92500000000000004</v>
      </c>
      <c r="J44" s="19">
        <v>34</v>
      </c>
      <c r="K44" s="91">
        <f>Table13[[#This Row],[BIDEN VOTES]]/C139</f>
        <v>3.8245219347581551E-2</v>
      </c>
      <c r="L44" s="18">
        <v>6.4000000000000001E-2</v>
      </c>
      <c r="M44" s="80">
        <f>1-(Table13[[#This Row],[NbP]]+Table13[[#This Row],[NbP2]])</f>
        <v>0.40607424071991005</v>
      </c>
    </row>
    <row r="45" spans="1:13" ht="20">
      <c r="A45" s="78" t="s">
        <v>2196</v>
      </c>
      <c r="B45" s="78" t="s">
        <v>297</v>
      </c>
      <c r="C45" s="78">
        <v>0</v>
      </c>
      <c r="D45" s="98">
        <f>Table10[[#This Row],[2019]]/C140</f>
        <v>0</v>
      </c>
      <c r="F45" s="16" t="s">
        <v>2246</v>
      </c>
      <c r="G45" s="17">
        <v>1264</v>
      </c>
      <c r="H45" s="80">
        <f>Table13[[#This Row],[TRUMP VOTES]]/C140</f>
        <v>0.4533715925394548</v>
      </c>
      <c r="I45" s="18">
        <v>0.86</v>
      </c>
      <c r="J45" s="19">
        <v>175</v>
      </c>
      <c r="K45" s="91">
        <f>Table13[[#This Row],[BIDEN VOTES]]/C140</f>
        <v>6.2769010043041612E-2</v>
      </c>
      <c r="L45" s="18">
        <v>0.11899999999999999</v>
      </c>
      <c r="M45" s="80">
        <f>1-(Table13[[#This Row],[NbP]]+Table13[[#This Row],[NbP2]])</f>
        <v>0.48385939741750361</v>
      </c>
    </row>
    <row r="46" spans="1:13" ht="20">
      <c r="A46" s="78" t="s">
        <v>2100</v>
      </c>
      <c r="B46" s="78" t="s">
        <v>297</v>
      </c>
      <c r="C46" s="78">
        <v>7</v>
      </c>
      <c r="D46" s="98">
        <f>Table10[[#This Row],[2019]]/C141</f>
        <v>6.9149461622048801E-4</v>
      </c>
      <c r="F46" s="16" t="s">
        <v>2144</v>
      </c>
      <c r="G46" s="17">
        <v>4769</v>
      </c>
      <c r="H46" s="80">
        <f>Table13[[#This Row],[TRUMP VOTES]]/C141</f>
        <v>0.47110540353650104</v>
      </c>
      <c r="I46" s="18">
        <v>0.86099999999999999</v>
      </c>
      <c r="J46" s="19">
        <v>686</v>
      </c>
      <c r="K46" s="91">
        <f>Table13[[#This Row],[BIDEN VOTES]]/C141</f>
        <v>6.7766472389607826E-2</v>
      </c>
      <c r="L46" s="18">
        <v>0.124</v>
      </c>
      <c r="M46" s="80">
        <f>1-(Table13[[#This Row],[NbP]]+Table13[[#This Row],[NbP2]])</f>
        <v>0.46112812407389114</v>
      </c>
    </row>
    <row r="47" spans="1:13" ht="20">
      <c r="A47" s="78" t="s">
        <v>2197</v>
      </c>
      <c r="B47" s="78" t="s">
        <v>297</v>
      </c>
      <c r="C47" s="78">
        <v>0</v>
      </c>
      <c r="D47" s="98">
        <f>Table10[[#This Row],[2019]]/C142</f>
        <v>0</v>
      </c>
      <c r="F47" s="16" t="s">
        <v>2247</v>
      </c>
      <c r="G47" s="19">
        <v>376</v>
      </c>
      <c r="H47" s="80">
        <f>Table13[[#This Row],[TRUMP VOTES]]/C142</f>
        <v>0.50742240215924428</v>
      </c>
      <c r="I47" s="18">
        <v>0.85099999999999998</v>
      </c>
      <c r="J47" s="19">
        <v>59</v>
      </c>
      <c r="K47" s="91">
        <f>Table13[[#This Row],[BIDEN VOTES]]/C142</f>
        <v>7.9622132253711203E-2</v>
      </c>
      <c r="L47" s="18">
        <v>0.13300000000000001</v>
      </c>
      <c r="M47" s="80">
        <f>1-(Table13[[#This Row],[NbP]]+Table13[[#This Row],[NbP2]])</f>
        <v>0.41295546558704455</v>
      </c>
    </row>
    <row r="48" spans="1:13" ht="20">
      <c r="A48" s="78" t="s">
        <v>661</v>
      </c>
      <c r="B48" s="78" t="s">
        <v>297</v>
      </c>
      <c r="C48" s="78">
        <v>3</v>
      </c>
      <c r="D48" s="98">
        <f>Table10[[#This Row],[2019]]/C143</f>
        <v>4.6670815183571873E-4</v>
      </c>
      <c r="F48" s="16" t="s">
        <v>434</v>
      </c>
      <c r="G48" s="17">
        <v>2786</v>
      </c>
      <c r="H48" s="80">
        <f>Table13[[#This Row],[TRUMP VOTES]]/C143</f>
        <v>0.43341630367143746</v>
      </c>
      <c r="I48" s="18">
        <v>0.79600000000000004</v>
      </c>
      <c r="J48" s="19">
        <v>648</v>
      </c>
      <c r="K48" s="91">
        <f>Table13[[#This Row],[BIDEN VOTES]]/C143</f>
        <v>0.10080896079651525</v>
      </c>
      <c r="L48" s="18">
        <v>0.185</v>
      </c>
      <c r="M48" s="80">
        <f>1-(Table13[[#This Row],[NbP]]+Table13[[#This Row],[NbP2]])</f>
        <v>0.46577473553204729</v>
      </c>
    </row>
    <row r="49" spans="1:13" ht="20">
      <c r="A49" s="78" t="s">
        <v>115</v>
      </c>
      <c r="B49" s="78" t="s">
        <v>297</v>
      </c>
      <c r="C49" s="78">
        <v>17</v>
      </c>
      <c r="D49" s="98">
        <f>Table10[[#This Row],[2019]]/C144</f>
        <v>2.3936919177696423E-3</v>
      </c>
      <c r="F49" s="16" t="s">
        <v>214</v>
      </c>
      <c r="G49" s="17">
        <v>2616</v>
      </c>
      <c r="H49" s="80">
        <f>Table13[[#This Row],[TRUMP VOTES]]/C144</f>
        <v>0.36834694452266969</v>
      </c>
      <c r="I49" s="18">
        <v>0.70399999999999996</v>
      </c>
      <c r="J49" s="17">
        <v>1016</v>
      </c>
      <c r="K49" s="91">
        <f>Table13[[#This Row],[BIDEN VOTES]]/C144</f>
        <v>0.14305829343846804</v>
      </c>
      <c r="L49" s="18">
        <v>0.27300000000000002</v>
      </c>
      <c r="M49" s="80">
        <f>1-(Table13[[#This Row],[NbP]]+Table13[[#This Row],[NbP2]])</f>
        <v>0.48859476203886221</v>
      </c>
    </row>
    <row r="50" spans="1:13" ht="20">
      <c r="A50" s="78" t="s">
        <v>116</v>
      </c>
      <c r="B50" s="78" t="s">
        <v>297</v>
      </c>
      <c r="C50" s="78">
        <v>6</v>
      </c>
      <c r="D50" s="98">
        <f>Table10[[#This Row],[2019]]/C145</f>
        <v>1.1723329425556857E-3</v>
      </c>
      <c r="F50" s="16" t="s">
        <v>215</v>
      </c>
      <c r="G50" s="17">
        <v>1518</v>
      </c>
      <c r="H50" s="80">
        <f>Table13[[#This Row],[TRUMP VOTES]]/C145</f>
        <v>0.29660023446658851</v>
      </c>
      <c r="I50" s="18">
        <v>0.68100000000000005</v>
      </c>
      <c r="J50" s="19">
        <v>647</v>
      </c>
      <c r="K50" s="91">
        <f>Table13[[#This Row],[BIDEN VOTES]]/C145</f>
        <v>0.12641656897225478</v>
      </c>
      <c r="L50" s="18">
        <v>0.28999999999999998</v>
      </c>
      <c r="M50" s="80">
        <f>1-(Table13[[#This Row],[NbP]]+Table13[[#This Row],[NbP2]])</f>
        <v>0.57698319656115671</v>
      </c>
    </row>
    <row r="51" spans="1:13" ht="20">
      <c r="A51" s="78" t="s">
        <v>2198</v>
      </c>
      <c r="B51" s="78" t="s">
        <v>297</v>
      </c>
      <c r="C51" s="78">
        <v>4</v>
      </c>
      <c r="D51" s="98">
        <f>Table10[[#This Row],[2019]]/C146</f>
        <v>6.0716454159077113E-4</v>
      </c>
      <c r="F51" s="16" t="s">
        <v>2248</v>
      </c>
      <c r="G51" s="17">
        <v>2822</v>
      </c>
      <c r="H51" s="80">
        <f>Table13[[#This Row],[TRUMP VOTES]]/C146</f>
        <v>0.42835458409228899</v>
      </c>
      <c r="I51" s="18">
        <v>0.78300000000000003</v>
      </c>
      <c r="J51" s="19">
        <v>701</v>
      </c>
      <c r="K51" s="91">
        <f>Table13[[#This Row],[BIDEN VOTES]]/C146</f>
        <v>0.10640558591378263</v>
      </c>
      <c r="L51" s="18">
        <v>0.19500000000000001</v>
      </c>
      <c r="M51" s="80">
        <f>1-(Table13[[#This Row],[NbP]]+Table13[[#This Row],[NbP2]])</f>
        <v>0.46523982999392843</v>
      </c>
    </row>
    <row r="52" spans="1:13" ht="20">
      <c r="A52" s="78" t="s">
        <v>2199</v>
      </c>
      <c r="B52" s="78" t="s">
        <v>297</v>
      </c>
      <c r="C52" s="78">
        <v>21</v>
      </c>
      <c r="D52" s="98">
        <f>Table10[[#This Row],[2019]]/C147</f>
        <v>2.6093439363817097E-3</v>
      </c>
      <c r="F52" s="16" t="s">
        <v>2249</v>
      </c>
      <c r="G52" s="17">
        <v>3544</v>
      </c>
      <c r="H52" s="80">
        <f>Table13[[#This Row],[TRUMP VOTES]]/C147</f>
        <v>0.44035785288270379</v>
      </c>
      <c r="I52" s="18">
        <v>0.81200000000000006</v>
      </c>
      <c r="J52" s="19">
        <v>763</v>
      </c>
      <c r="K52" s="91">
        <f>Table13[[#This Row],[BIDEN VOTES]]/C147</f>
        <v>9.4806163021868783E-2</v>
      </c>
      <c r="L52" s="18">
        <v>0.17499999999999999</v>
      </c>
      <c r="M52" s="80">
        <f>1-(Table13[[#This Row],[NbP]]+Table13[[#This Row],[NbP2]])</f>
        <v>0.46483598409542748</v>
      </c>
    </row>
    <row r="53" spans="1:13" ht="20">
      <c r="A53" s="78" t="s">
        <v>2200</v>
      </c>
      <c r="B53" s="78" t="s">
        <v>297</v>
      </c>
      <c r="C53" s="78">
        <v>0</v>
      </c>
      <c r="D53" s="98">
        <f>Table10[[#This Row],[2019]]/C148</f>
        <v>0</v>
      </c>
      <c r="F53" s="16" t="s">
        <v>2250</v>
      </c>
      <c r="G53" s="19">
        <v>476</v>
      </c>
      <c r="H53" s="80">
        <f>Table13[[#This Row],[TRUMP VOTES]]/C148</f>
        <v>0.54400000000000004</v>
      </c>
      <c r="I53" s="18">
        <v>0.9</v>
      </c>
      <c r="J53" s="19">
        <v>49</v>
      </c>
      <c r="K53" s="91">
        <f>Table13[[#This Row],[BIDEN VOTES]]/C148</f>
        <v>5.6000000000000001E-2</v>
      </c>
      <c r="L53" s="18">
        <v>9.2999999999999999E-2</v>
      </c>
      <c r="M53" s="80">
        <f>1-(Table13[[#This Row],[NbP]]+Table13[[#This Row],[NbP2]])</f>
        <v>0.39999999999999991</v>
      </c>
    </row>
    <row r="54" spans="1:13" ht="20">
      <c r="A54" s="78" t="s">
        <v>2201</v>
      </c>
      <c r="B54" s="78" t="s">
        <v>297</v>
      </c>
      <c r="C54" s="78">
        <v>4</v>
      </c>
      <c r="D54" s="98">
        <f>Table10[[#This Row],[2019]]/C149</f>
        <v>1.1185682326621924E-3</v>
      </c>
      <c r="F54" s="16" t="s">
        <v>2251</v>
      </c>
      <c r="G54" s="17">
        <v>1563</v>
      </c>
      <c r="H54" s="80">
        <f>Table13[[#This Row],[TRUMP VOTES]]/C149</f>
        <v>0.43708053691275167</v>
      </c>
      <c r="I54" s="18">
        <v>0.83399999999999996</v>
      </c>
      <c r="J54" s="19">
        <v>268</v>
      </c>
      <c r="K54" s="91">
        <f>Table13[[#This Row],[BIDEN VOTES]]/C149</f>
        <v>7.4944071588366884E-2</v>
      </c>
      <c r="L54" s="18">
        <v>0.14299999999999999</v>
      </c>
      <c r="M54" s="80">
        <f>1-(Table13[[#This Row],[NbP]]+Table13[[#This Row],[NbP2]])</f>
        <v>0.48797539149888147</v>
      </c>
    </row>
    <row r="55" spans="1:13" ht="20">
      <c r="A55" s="78" t="s">
        <v>117</v>
      </c>
      <c r="B55" s="78" t="s">
        <v>297</v>
      </c>
      <c r="C55" s="78">
        <v>7</v>
      </c>
      <c r="D55" s="98">
        <f>Table10[[#This Row],[2019]]/C150</f>
        <v>8.3333333333333339E-4</v>
      </c>
      <c r="F55" s="16" t="s">
        <v>216</v>
      </c>
      <c r="G55" s="17">
        <v>3721</v>
      </c>
      <c r="H55" s="80">
        <f>Table13[[#This Row],[TRUMP VOTES]]/C150</f>
        <v>0.44297619047619047</v>
      </c>
      <c r="I55" s="18">
        <v>0.79200000000000004</v>
      </c>
      <c r="J55" s="19">
        <v>905</v>
      </c>
      <c r="K55" s="91">
        <f>Table13[[#This Row],[BIDEN VOTES]]/C150</f>
        <v>0.10773809523809524</v>
      </c>
      <c r="L55" s="18">
        <v>0.193</v>
      </c>
      <c r="M55" s="80">
        <f>1-(Table13[[#This Row],[NbP]]+Table13[[#This Row],[NbP2]])</f>
        <v>0.44928571428571429</v>
      </c>
    </row>
    <row r="56" spans="1:13" ht="20">
      <c r="A56" s="78" t="s">
        <v>2202</v>
      </c>
      <c r="B56" s="78" t="s">
        <v>297</v>
      </c>
      <c r="C56" s="78">
        <v>530</v>
      </c>
      <c r="D56" s="98">
        <f>Table10[[#This Row],[2019]]/C151</f>
        <v>1.6773425829809858E-3</v>
      </c>
      <c r="F56" s="16" t="s">
        <v>2252</v>
      </c>
      <c r="G56" s="17">
        <v>70092</v>
      </c>
      <c r="H56" s="80">
        <f>Table13[[#This Row],[TRUMP VOTES]]/C151</f>
        <v>0.22182697420057221</v>
      </c>
      <c r="I56" s="18">
        <v>0.44900000000000001</v>
      </c>
      <c r="J56" s="17">
        <v>82293</v>
      </c>
      <c r="K56" s="91">
        <f>Table13[[#This Row],[BIDEN VOTES]]/C151</f>
        <v>0.26044066637972502</v>
      </c>
      <c r="L56" s="18">
        <v>0.52700000000000002</v>
      </c>
      <c r="M56" s="80">
        <f>1-(Table13[[#This Row],[NbP]]+Table13[[#This Row],[NbP2]])</f>
        <v>0.51773235941970275</v>
      </c>
    </row>
    <row r="57" spans="1:13" ht="20">
      <c r="A57" s="78" t="s">
        <v>122</v>
      </c>
      <c r="B57" s="78" t="s">
        <v>297</v>
      </c>
      <c r="C57" s="78">
        <v>119</v>
      </c>
      <c r="D57" s="98">
        <f>Table10[[#This Row],[2019]]/C152</f>
        <v>3.3959248901318418E-3</v>
      </c>
      <c r="F57" s="16" t="s">
        <v>221</v>
      </c>
      <c r="G57" s="17">
        <v>13071</v>
      </c>
      <c r="H57" s="80">
        <f>Table13[[#This Row],[TRUMP VOTES]]/C152</f>
        <v>0.37300953141943954</v>
      </c>
      <c r="I57" s="18">
        <v>0.76400000000000001</v>
      </c>
      <c r="J57" s="17">
        <v>3692</v>
      </c>
      <c r="K57" s="91">
        <f>Table13[[#This Row],[BIDEN VOTES]]/C152</f>
        <v>0.10535928314593916</v>
      </c>
      <c r="L57" s="18">
        <v>0.216</v>
      </c>
      <c r="M57" s="80">
        <f>1-(Table13[[#This Row],[NbP]]+Table13[[#This Row],[NbP2]])</f>
        <v>0.52163118543462128</v>
      </c>
    </row>
    <row r="58" spans="1:13" ht="20">
      <c r="A58" s="78" t="s">
        <v>869</v>
      </c>
      <c r="B58" s="78" t="s">
        <v>297</v>
      </c>
      <c r="C58" s="78">
        <v>0</v>
      </c>
      <c r="D58" s="98">
        <f>Table10[[#This Row],[2019]]/C153</f>
        <v>0</v>
      </c>
      <c r="F58" s="16" t="s">
        <v>837</v>
      </c>
      <c r="G58" s="19">
        <v>407</v>
      </c>
      <c r="H58" s="80">
        <f>Table13[[#This Row],[TRUMP VOTES]]/C153</f>
        <v>0.45424107142857145</v>
      </c>
      <c r="I58" s="18">
        <v>0.90400000000000003</v>
      </c>
      <c r="J58" s="19">
        <v>38</v>
      </c>
      <c r="K58" s="91">
        <f>Table13[[#This Row],[BIDEN VOTES]]/C153</f>
        <v>4.2410714285714288E-2</v>
      </c>
      <c r="L58" s="18">
        <v>8.4000000000000005E-2</v>
      </c>
      <c r="M58" s="80">
        <f>1-(Table13[[#This Row],[NbP]]+Table13[[#This Row],[NbP2]])</f>
        <v>0.50334821428571419</v>
      </c>
    </row>
    <row r="59" spans="1:13" ht="20">
      <c r="A59" s="78" t="s">
        <v>2203</v>
      </c>
      <c r="B59" s="78" t="s">
        <v>297</v>
      </c>
      <c r="C59" s="78">
        <v>1</v>
      </c>
      <c r="D59" s="98">
        <f>Table10[[#This Row],[2019]]/C154</f>
        <v>1.4492753623188406E-3</v>
      </c>
      <c r="F59" s="16" t="s">
        <v>2253</v>
      </c>
      <c r="G59" s="19">
        <v>370</v>
      </c>
      <c r="H59" s="80">
        <f>Table13[[#This Row],[TRUMP VOTES]]/C154</f>
        <v>0.53623188405797106</v>
      </c>
      <c r="I59" s="18">
        <v>0.81499999999999995</v>
      </c>
      <c r="J59" s="19">
        <v>75</v>
      </c>
      <c r="K59" s="91">
        <f>Table13[[#This Row],[BIDEN VOTES]]/C154</f>
        <v>0.10869565217391304</v>
      </c>
      <c r="L59" s="18">
        <v>0.16500000000000001</v>
      </c>
      <c r="M59" s="80">
        <f>1-(Table13[[#This Row],[NbP]]+Table13[[#This Row],[NbP2]])</f>
        <v>0.35507246376811585</v>
      </c>
    </row>
    <row r="60" spans="1:13" ht="20">
      <c r="A60" s="78" t="s">
        <v>125</v>
      </c>
      <c r="B60" s="78" t="s">
        <v>297</v>
      </c>
      <c r="C60" s="78">
        <v>51</v>
      </c>
      <c r="D60" s="98">
        <f>Table10[[#This Row],[2019]]/C155</f>
        <v>1.4561859349570283E-3</v>
      </c>
      <c r="F60" s="16" t="s">
        <v>2254</v>
      </c>
      <c r="G60" s="19">
        <v>275</v>
      </c>
      <c r="H60" s="80">
        <f>Table13[[#This Row],[TRUMP VOTES]]/C155</f>
        <v>7.8519829826114267E-3</v>
      </c>
      <c r="I60" s="18">
        <v>0.91100000000000003</v>
      </c>
      <c r="J60" s="19">
        <v>17</v>
      </c>
      <c r="K60" s="91">
        <f>Table13[[#This Row],[BIDEN VOTES]]/C155</f>
        <v>4.8539531165234272E-4</v>
      </c>
      <c r="L60" s="18">
        <v>5.6000000000000001E-2</v>
      </c>
      <c r="M60" s="80">
        <f>1-(Table13[[#This Row],[NbP]]+Table13[[#This Row],[NbP2]])</f>
        <v>0.99166262170573627</v>
      </c>
    </row>
    <row r="61" spans="1:13" ht="20">
      <c r="A61" s="78" t="s">
        <v>2204</v>
      </c>
      <c r="B61" s="78" t="s">
        <v>297</v>
      </c>
      <c r="C61" s="78">
        <v>0</v>
      </c>
      <c r="D61" s="98">
        <f>Table10[[#This Row],[2019]]/C156</f>
        <v>0</v>
      </c>
      <c r="F61" s="16" t="s">
        <v>226</v>
      </c>
      <c r="G61" s="17">
        <v>11940</v>
      </c>
      <c r="H61" s="80">
        <f>Table13[[#This Row],[TRUMP VOTES]]/C156</f>
        <v>28.428571428571427</v>
      </c>
      <c r="I61" s="18">
        <v>0.75700000000000001</v>
      </c>
      <c r="J61" s="17">
        <v>3478</v>
      </c>
      <c r="K61" s="91">
        <f>Table13[[#This Row],[BIDEN VOTES]]/C156</f>
        <v>8.2809523809523817</v>
      </c>
      <c r="L61" s="18">
        <v>0.221</v>
      </c>
      <c r="M61" s="80">
        <f>1-(Table13[[#This Row],[NbP]]+Table13[[#This Row],[NbP2]])</f>
        <v>-35.709523809523809</v>
      </c>
    </row>
    <row r="62" spans="1:13" ht="20">
      <c r="A62" s="78" t="s">
        <v>2205</v>
      </c>
      <c r="B62" s="78" t="s">
        <v>297</v>
      </c>
      <c r="C62" s="78">
        <v>3</v>
      </c>
      <c r="D62" s="98">
        <f>Table10[[#This Row],[2019]]/C157</f>
        <v>3.8333759263991824E-4</v>
      </c>
      <c r="F62" s="16" t="s">
        <v>2255</v>
      </c>
      <c r="G62" s="17">
        <v>3419</v>
      </c>
      <c r="H62" s="80">
        <f>Table13[[#This Row],[TRUMP VOTES]]/C157</f>
        <v>0.43687707641196011</v>
      </c>
      <c r="I62" s="18">
        <v>0.80300000000000005</v>
      </c>
      <c r="J62" s="19">
        <v>743</v>
      </c>
      <c r="K62" s="91">
        <f>Table13[[#This Row],[BIDEN VOTES]]/C157</f>
        <v>9.4939943777153077E-2</v>
      </c>
      <c r="L62" s="18">
        <v>0.17499999999999999</v>
      </c>
      <c r="M62" s="80">
        <f>1-(Table13[[#This Row],[NbP]]+Table13[[#This Row],[NbP2]])</f>
        <v>0.46818297981088686</v>
      </c>
    </row>
    <row r="63" spans="1:13" ht="20">
      <c r="A63" s="78" t="s">
        <v>2206</v>
      </c>
      <c r="B63" s="78" t="s">
        <v>297</v>
      </c>
      <c r="C63" s="78">
        <v>7</v>
      </c>
      <c r="D63" s="98">
        <f>Table10[[#This Row],[2019]]/C158</f>
        <v>1.4858841010401188E-3</v>
      </c>
      <c r="F63" s="16" t="s">
        <v>2256</v>
      </c>
      <c r="G63" s="17">
        <v>2113</v>
      </c>
      <c r="H63" s="80">
        <f>Table13[[#This Row],[TRUMP VOTES]]/C158</f>
        <v>0.44852472935682447</v>
      </c>
      <c r="I63" s="18">
        <v>0.82599999999999996</v>
      </c>
      <c r="J63" s="19">
        <v>386</v>
      </c>
      <c r="K63" s="91">
        <f>Table13[[#This Row],[BIDEN VOTES]]/C158</f>
        <v>8.1935894714497984E-2</v>
      </c>
      <c r="L63" s="18">
        <v>0.151</v>
      </c>
      <c r="M63" s="80">
        <f>1-(Table13[[#This Row],[NbP]]+Table13[[#This Row],[NbP2]])</f>
        <v>0.46953937592867756</v>
      </c>
    </row>
    <row r="64" spans="1:13" ht="20">
      <c r="A64" s="78" t="s">
        <v>2207</v>
      </c>
      <c r="B64" s="78" t="s">
        <v>297</v>
      </c>
      <c r="C64" s="78">
        <v>7</v>
      </c>
      <c r="D64" s="98">
        <f>Table10[[#This Row],[2019]]/C159</f>
        <v>1.9858156028368795E-3</v>
      </c>
      <c r="F64" s="16" t="s">
        <v>2257</v>
      </c>
      <c r="G64" s="17">
        <v>1437</v>
      </c>
      <c r="H64" s="80">
        <f>Table13[[#This Row],[TRUMP VOTES]]/C159</f>
        <v>0.4076595744680851</v>
      </c>
      <c r="I64" s="18">
        <v>0.78600000000000003</v>
      </c>
      <c r="J64" s="19">
        <v>359</v>
      </c>
      <c r="K64" s="91">
        <f>Table13[[#This Row],[BIDEN VOTES]]/C159</f>
        <v>0.10184397163120568</v>
      </c>
      <c r="L64" s="18">
        <v>0.19600000000000001</v>
      </c>
      <c r="M64" s="80">
        <f>1-(Table13[[#This Row],[NbP]]+Table13[[#This Row],[NbP2]])</f>
        <v>0.49049645390070928</v>
      </c>
    </row>
    <row r="65" spans="1:13" ht="20">
      <c r="A65" s="78" t="s">
        <v>2208</v>
      </c>
      <c r="B65" s="78" t="s">
        <v>297</v>
      </c>
      <c r="C65" s="78">
        <v>2</v>
      </c>
      <c r="D65" s="98">
        <f>Table10[[#This Row],[2019]]/C160</f>
        <v>2.8661507595299513E-4</v>
      </c>
      <c r="F65" s="16" t="s">
        <v>2258</v>
      </c>
      <c r="G65" s="17">
        <v>2428</v>
      </c>
      <c r="H65" s="80">
        <f>Table13[[#This Row],[TRUMP VOTES]]/C160</f>
        <v>0.34795070220693608</v>
      </c>
      <c r="I65" s="18">
        <v>0.70899999999999996</v>
      </c>
      <c r="J65" s="19">
        <v>921</v>
      </c>
      <c r="K65" s="91">
        <f>Table13[[#This Row],[BIDEN VOTES]]/C160</f>
        <v>0.13198624247635427</v>
      </c>
      <c r="L65" s="18">
        <v>0.26900000000000002</v>
      </c>
      <c r="M65" s="80">
        <f>1-(Table13[[#This Row],[NbP]]+Table13[[#This Row],[NbP2]])</f>
        <v>0.5200630553167096</v>
      </c>
    </row>
    <row r="66" spans="1:13" ht="20">
      <c r="A66" s="78" t="s">
        <v>2209</v>
      </c>
      <c r="B66" s="78" t="s">
        <v>297</v>
      </c>
      <c r="C66" s="78">
        <v>0</v>
      </c>
      <c r="D66" s="98">
        <f>Table10[[#This Row],[2019]]/C161</f>
        <v>0</v>
      </c>
      <c r="F66" s="16" t="s">
        <v>2259</v>
      </c>
      <c r="G66" s="17">
        <v>1857</v>
      </c>
      <c r="H66" s="80">
        <f>Table13[[#This Row],[TRUMP VOTES]]/C161</f>
        <v>0.44172216936251191</v>
      </c>
      <c r="I66" s="18">
        <v>0.80600000000000005</v>
      </c>
      <c r="J66" s="19">
        <v>409</v>
      </c>
      <c r="K66" s="91">
        <f>Table13[[#This Row],[BIDEN VOTES]]/C161</f>
        <v>9.7288296860133211E-2</v>
      </c>
      <c r="L66" s="18">
        <v>0.17799999999999999</v>
      </c>
      <c r="M66" s="80">
        <f>1-(Table13[[#This Row],[NbP]]+Table13[[#This Row],[NbP2]])</f>
        <v>0.46098953377735485</v>
      </c>
    </row>
    <row r="67" spans="1:13" ht="20">
      <c r="A67" s="78" t="s">
        <v>2210</v>
      </c>
      <c r="B67" s="78" t="s">
        <v>297</v>
      </c>
      <c r="C67" s="78">
        <v>26</v>
      </c>
      <c r="D67" s="98">
        <f>Table10[[#This Row],[2019]]/C162</f>
        <v>1.6285624804259317E-3</v>
      </c>
      <c r="F67" s="16" t="s">
        <v>2260</v>
      </c>
      <c r="G67" s="17">
        <v>5649</v>
      </c>
      <c r="H67" s="80">
        <f>Table13[[#This Row],[TRUMP VOTES]]/C162</f>
        <v>0.35383651738177263</v>
      </c>
      <c r="I67" s="18">
        <v>0.67900000000000005</v>
      </c>
      <c r="J67" s="17">
        <v>2490</v>
      </c>
      <c r="K67" s="91">
        <f>Table13[[#This Row],[BIDEN VOTES]]/C162</f>
        <v>0.15596617601002191</v>
      </c>
      <c r="L67" s="18">
        <v>0.29899999999999999</v>
      </c>
      <c r="M67" s="80">
        <f>1-(Table13[[#This Row],[NbP]]+Table13[[#This Row],[NbP2]])</f>
        <v>0.49019730660820549</v>
      </c>
    </row>
    <row r="68" spans="1:13" ht="20">
      <c r="A68" s="78" t="s">
        <v>2211</v>
      </c>
      <c r="B68" s="78" t="s">
        <v>297</v>
      </c>
      <c r="C68" s="78">
        <v>0</v>
      </c>
      <c r="D68" s="98">
        <f>Table10[[#This Row],[2019]]/C163</f>
        <v>0</v>
      </c>
      <c r="F68" s="16" t="s">
        <v>2261</v>
      </c>
      <c r="G68" s="17">
        <v>1071</v>
      </c>
      <c r="H68" s="80">
        <f>Table13[[#This Row],[TRUMP VOTES]]/C163</f>
        <v>0.4056818181818182</v>
      </c>
      <c r="I68" s="18">
        <v>0.749</v>
      </c>
      <c r="J68" s="19">
        <v>322</v>
      </c>
      <c r="K68" s="91">
        <f>Table13[[#This Row],[BIDEN VOTES]]/C163</f>
        <v>0.12196969696969696</v>
      </c>
      <c r="L68" s="18">
        <v>0.22500000000000001</v>
      </c>
      <c r="M68" s="80">
        <f>1-(Table13[[#This Row],[NbP]]+Table13[[#This Row],[NbP2]])</f>
        <v>0.4723484848484848</v>
      </c>
    </row>
    <row r="69" spans="1:13" ht="20">
      <c r="A69" s="78" t="s">
        <v>2212</v>
      </c>
      <c r="B69" s="78" t="s">
        <v>297</v>
      </c>
      <c r="C69" s="78">
        <v>1</v>
      </c>
      <c r="D69" s="98">
        <f>Table10[[#This Row],[2019]]/C164</f>
        <v>3.4614053305642093E-4</v>
      </c>
      <c r="F69" s="16" t="s">
        <v>2262</v>
      </c>
      <c r="G69" s="17">
        <v>1321</v>
      </c>
      <c r="H69" s="80">
        <f>Table13[[#This Row],[TRUMP VOTES]]/C164</f>
        <v>0.457251644167532</v>
      </c>
      <c r="I69" s="18">
        <v>0.85599999999999998</v>
      </c>
      <c r="J69" s="19">
        <v>199</v>
      </c>
      <c r="K69" s="91">
        <f>Table13[[#This Row],[BIDEN VOTES]]/C164</f>
        <v>6.888196607822776E-2</v>
      </c>
      <c r="L69" s="18">
        <v>0.129</v>
      </c>
      <c r="M69" s="80">
        <f>1-(Table13[[#This Row],[NbP]]+Table13[[#This Row],[NbP2]])</f>
        <v>0.47386638975424022</v>
      </c>
    </row>
    <row r="70" spans="1:13" ht="20">
      <c r="A70" s="78" t="s">
        <v>2112</v>
      </c>
      <c r="B70" s="78" t="s">
        <v>297</v>
      </c>
      <c r="C70" s="78">
        <v>15</v>
      </c>
      <c r="D70" s="98">
        <f>Table10[[#This Row],[2019]]/C165</f>
        <v>1.6574585635359116E-3</v>
      </c>
      <c r="F70" s="16" t="s">
        <v>2158</v>
      </c>
      <c r="G70" s="17">
        <v>4157</v>
      </c>
      <c r="H70" s="80">
        <f>Table13[[#This Row],[TRUMP VOTES]]/C165</f>
        <v>0.45933701657458564</v>
      </c>
      <c r="I70" s="18">
        <v>0.83</v>
      </c>
      <c r="J70" s="19">
        <v>752</v>
      </c>
      <c r="K70" s="91">
        <f>Table13[[#This Row],[BIDEN VOTES]]/C165</f>
        <v>8.3093922651933702E-2</v>
      </c>
      <c r="L70" s="18">
        <v>0.15</v>
      </c>
      <c r="M70" s="80">
        <f>1-(Table13[[#This Row],[NbP]]+Table13[[#This Row],[NbP2]])</f>
        <v>0.4575690607734807</v>
      </c>
    </row>
    <row r="71" spans="1:13" ht="20">
      <c r="A71" s="78" t="s">
        <v>1276</v>
      </c>
      <c r="B71" s="78" t="s">
        <v>297</v>
      </c>
      <c r="C71" s="78">
        <v>11</v>
      </c>
      <c r="D71" s="98">
        <f>Table10[[#This Row],[2019]]/C166</f>
        <v>1.5423443634324174E-3</v>
      </c>
      <c r="F71" s="16" t="s">
        <v>1369</v>
      </c>
      <c r="G71" s="17">
        <v>3462</v>
      </c>
      <c r="H71" s="80">
        <f>Table13[[#This Row],[TRUMP VOTES]]/C166</f>
        <v>0.48541783510936626</v>
      </c>
      <c r="I71" s="18">
        <v>0.86399999999999999</v>
      </c>
      <c r="J71" s="19">
        <v>480</v>
      </c>
      <c r="K71" s="91">
        <f>Table13[[#This Row],[BIDEN VOTES]]/C166</f>
        <v>6.7302299495232754E-2</v>
      </c>
      <c r="L71" s="18">
        <v>0.12</v>
      </c>
      <c r="M71" s="80">
        <f>1-(Table13[[#This Row],[NbP]]+Table13[[#This Row],[NbP2]])</f>
        <v>0.44727986539540099</v>
      </c>
    </row>
    <row r="72" spans="1:13" ht="20">
      <c r="A72" s="78" t="s">
        <v>2113</v>
      </c>
      <c r="B72" s="78" t="s">
        <v>297</v>
      </c>
      <c r="C72" s="78">
        <v>51</v>
      </c>
      <c r="D72" s="98">
        <f>Table10[[#This Row],[2019]]/C167</f>
        <v>1.5338345864661653E-3</v>
      </c>
      <c r="F72" s="16" t="s">
        <v>2159</v>
      </c>
      <c r="G72" s="17">
        <v>12186</v>
      </c>
      <c r="H72" s="80">
        <f>Table13[[#This Row],[TRUMP VOTES]]/C167</f>
        <v>0.36649624060150376</v>
      </c>
      <c r="I72" s="18">
        <v>0.77800000000000002</v>
      </c>
      <c r="J72" s="17">
        <v>3260</v>
      </c>
      <c r="K72" s="91">
        <f>Table13[[#This Row],[BIDEN VOTES]]/C167</f>
        <v>9.8045112781954893E-2</v>
      </c>
      <c r="L72" s="18">
        <v>0.20799999999999999</v>
      </c>
      <c r="M72" s="80">
        <f>1-(Table13[[#This Row],[NbP]]+Table13[[#This Row],[NbP2]])</f>
        <v>0.53545864661654141</v>
      </c>
    </row>
    <row r="73" spans="1:13" ht="20">
      <c r="A73" s="78" t="s">
        <v>140</v>
      </c>
      <c r="B73" s="78" t="s">
        <v>297</v>
      </c>
      <c r="C73" s="78">
        <v>7</v>
      </c>
      <c r="D73" s="98">
        <f>Table10[[#This Row],[2019]]/C168</f>
        <v>1.3440860215053765E-3</v>
      </c>
      <c r="F73" s="16" t="s">
        <v>239</v>
      </c>
      <c r="G73" s="17">
        <v>2291</v>
      </c>
      <c r="H73" s="80">
        <f>Table13[[#This Row],[TRUMP VOTES]]/C168</f>
        <v>0.43990015360983103</v>
      </c>
      <c r="I73" s="18">
        <v>0.79600000000000004</v>
      </c>
      <c r="J73" s="19">
        <v>530</v>
      </c>
      <c r="K73" s="91">
        <f>Table13[[#This Row],[BIDEN VOTES]]/C168</f>
        <v>0.10176651305683564</v>
      </c>
      <c r="L73" s="18">
        <v>0.184</v>
      </c>
      <c r="M73" s="80">
        <f>1-(Table13[[#This Row],[NbP]]+Table13[[#This Row],[NbP2]])</f>
        <v>0.45833333333333337</v>
      </c>
    </row>
    <row r="74" spans="1:13" ht="20">
      <c r="A74" s="78" t="s">
        <v>2213</v>
      </c>
      <c r="B74" s="78" t="s">
        <v>297</v>
      </c>
      <c r="C74" s="78">
        <v>1</v>
      </c>
      <c r="D74" s="98">
        <f>Table10[[#This Row],[2019]]/C169</f>
        <v>9.324009324009324E-5</v>
      </c>
      <c r="F74" s="16" t="s">
        <v>2263</v>
      </c>
      <c r="G74" s="17">
        <v>4525</v>
      </c>
      <c r="H74" s="80">
        <f>Table13[[#This Row],[TRUMP VOTES]]/C169</f>
        <v>0.42191142191142189</v>
      </c>
      <c r="I74" s="18">
        <v>0.83</v>
      </c>
      <c r="J74" s="19">
        <v>811</v>
      </c>
      <c r="K74" s="91">
        <f>Table13[[#This Row],[BIDEN VOTES]]/C169</f>
        <v>7.5617715617715617E-2</v>
      </c>
      <c r="L74" s="18">
        <v>0.14899999999999999</v>
      </c>
      <c r="M74" s="80">
        <f>1-(Table13[[#This Row],[NbP]]+Table13[[#This Row],[NbP2]])</f>
        <v>0.50247086247086248</v>
      </c>
    </row>
    <row r="75" spans="1:13" ht="20">
      <c r="A75" s="78" t="s">
        <v>2214</v>
      </c>
      <c r="B75" s="78" t="s">
        <v>297</v>
      </c>
      <c r="C75" s="78">
        <v>12</v>
      </c>
      <c r="D75" s="98">
        <f>Table10[[#This Row],[2019]]/C170</f>
        <v>1.5164918488563123E-3</v>
      </c>
      <c r="F75" s="16" t="s">
        <v>2264</v>
      </c>
      <c r="G75" s="17">
        <v>3073</v>
      </c>
      <c r="H75" s="80">
        <f>Table13[[#This Row],[TRUMP VOTES]]/C170</f>
        <v>0.38834828762795398</v>
      </c>
      <c r="I75" s="18">
        <v>0.745</v>
      </c>
      <c r="J75" s="19">
        <v>996</v>
      </c>
      <c r="K75" s="91">
        <f>Table13[[#This Row],[BIDEN VOTES]]/C170</f>
        <v>0.12586882345507394</v>
      </c>
      <c r="L75" s="18">
        <v>0.24099999999999999</v>
      </c>
      <c r="M75" s="80">
        <f>1-(Table13[[#This Row],[NbP]]+Table13[[#This Row],[NbP2]])</f>
        <v>0.48578288891697208</v>
      </c>
    </row>
    <row r="76" spans="1:13" ht="20">
      <c r="A76" s="78" t="s">
        <v>1925</v>
      </c>
      <c r="B76" s="78" t="s">
        <v>297</v>
      </c>
      <c r="C76" s="78">
        <v>1</v>
      </c>
      <c r="D76" s="98">
        <f>Table10[[#This Row],[2019]]/C171</f>
        <v>6.993006993006993E-4</v>
      </c>
      <c r="F76" s="16" t="s">
        <v>1990</v>
      </c>
      <c r="G76" s="19">
        <v>744</v>
      </c>
      <c r="H76" s="80">
        <f>Table13[[#This Row],[TRUMP VOTES]]/C171</f>
        <v>0.52027972027972025</v>
      </c>
      <c r="I76" s="18">
        <v>0.88500000000000001</v>
      </c>
      <c r="J76" s="19">
        <v>84</v>
      </c>
      <c r="K76" s="91">
        <f>Table13[[#This Row],[BIDEN VOTES]]/C171</f>
        <v>5.8741258741258739E-2</v>
      </c>
      <c r="L76" s="18">
        <v>0.1</v>
      </c>
      <c r="M76" s="80">
        <f>1-(Table13[[#This Row],[NbP]]+Table13[[#This Row],[NbP2]])</f>
        <v>0.42097902097902096</v>
      </c>
    </row>
    <row r="77" spans="1:13" ht="20">
      <c r="A77" s="78" t="s">
        <v>2117</v>
      </c>
      <c r="B77" s="78" t="s">
        <v>297</v>
      </c>
      <c r="C77" s="78">
        <v>10</v>
      </c>
      <c r="D77" s="98">
        <f>Table10[[#This Row],[2019]]/C172</f>
        <v>7.0318542999789043E-4</v>
      </c>
      <c r="F77" s="16" t="s">
        <v>1410</v>
      </c>
      <c r="G77" s="17">
        <v>3631</v>
      </c>
      <c r="H77" s="80">
        <f>Table13[[#This Row],[TRUMP VOTES]]/C172</f>
        <v>0.25532662963223401</v>
      </c>
      <c r="I77" s="18">
        <v>0.629</v>
      </c>
      <c r="J77" s="17">
        <v>1986</v>
      </c>
      <c r="K77" s="91">
        <f>Table13[[#This Row],[BIDEN VOTES]]/C172</f>
        <v>0.13965262639758105</v>
      </c>
      <c r="L77" s="18">
        <v>0.34399999999999997</v>
      </c>
      <c r="M77" s="80">
        <f>1-(Table13[[#This Row],[NbP]]+Table13[[#This Row],[NbP2]])</f>
        <v>0.6050207439701849</v>
      </c>
    </row>
    <row r="78" spans="1:13" ht="20">
      <c r="A78" s="78" t="s">
        <v>2215</v>
      </c>
      <c r="B78" s="78" t="s">
        <v>297</v>
      </c>
      <c r="C78" s="78">
        <v>269</v>
      </c>
      <c r="D78" s="98">
        <f>Table10[[#This Row],[2019]]/C173</f>
        <v>1.4623062036573963E-3</v>
      </c>
      <c r="F78" s="16" t="s">
        <v>2265</v>
      </c>
      <c r="G78" s="17">
        <v>51979</v>
      </c>
      <c r="H78" s="80">
        <f>Table13[[#This Row],[TRUMP VOTES]]/C173</f>
        <v>0.28256213442344907</v>
      </c>
      <c r="I78" s="18">
        <v>0.54300000000000004</v>
      </c>
      <c r="J78" s="17">
        <v>41206</v>
      </c>
      <c r="K78" s="91">
        <f>Table13[[#This Row],[BIDEN VOTES]]/C173</f>
        <v>0.22399921720411403</v>
      </c>
      <c r="L78" s="18">
        <v>0.43099999999999999</v>
      </c>
      <c r="M78" s="80">
        <f>1-(Table13[[#This Row],[NbP]]+Table13[[#This Row],[NbP2]])</f>
        <v>0.49343864837243689</v>
      </c>
    </row>
    <row r="79" spans="1:13" ht="20">
      <c r="A79" s="78" t="s">
        <v>2216</v>
      </c>
      <c r="B79" s="78" t="s">
        <v>297</v>
      </c>
      <c r="C79" s="78">
        <v>33</v>
      </c>
      <c r="D79" s="98">
        <f>Table10[[#This Row],[2019]]/C174</f>
        <v>1.5452331897359056E-3</v>
      </c>
      <c r="F79" s="16" t="s">
        <v>2266</v>
      </c>
      <c r="G79" s="17">
        <v>9108</v>
      </c>
      <c r="H79" s="80">
        <f>Table13[[#This Row],[TRUMP VOTES]]/C174</f>
        <v>0.42648436036710996</v>
      </c>
      <c r="I79" s="18">
        <v>0.71499999999999997</v>
      </c>
      <c r="J79" s="17">
        <v>3331</v>
      </c>
      <c r="K79" s="91">
        <f>Table13[[#This Row],[BIDEN VOTES]]/C174</f>
        <v>0.15597490166697883</v>
      </c>
      <c r="L79" s="18">
        <v>0.26200000000000001</v>
      </c>
      <c r="M79" s="80">
        <f>1-(Table13[[#This Row],[NbP]]+Table13[[#This Row],[NbP2]])</f>
        <v>0.41754073796591118</v>
      </c>
    </row>
    <row r="80" spans="1:13" ht="20">
      <c r="A80" s="78" t="s">
        <v>2217</v>
      </c>
      <c r="B80" s="78" t="s">
        <v>297</v>
      </c>
      <c r="C80" s="78">
        <v>73</v>
      </c>
      <c r="D80" s="98">
        <f>Table10[[#This Row],[2019]]/C175</f>
        <v>2.0343328502953964E-3</v>
      </c>
      <c r="F80" s="16" t="s">
        <v>2267</v>
      </c>
      <c r="G80" s="17">
        <v>10952</v>
      </c>
      <c r="H80" s="80">
        <f>Table13[[#This Row],[TRUMP VOTES]]/C175</f>
        <v>0.30520566269089289</v>
      </c>
      <c r="I80" s="18">
        <v>0.70799999999999996</v>
      </c>
      <c r="J80" s="17">
        <v>4196</v>
      </c>
      <c r="K80" s="91">
        <f>Table13[[#This Row],[BIDEN VOTES]]/C175</f>
        <v>0.11693233753204771</v>
      </c>
      <c r="L80" s="18">
        <v>0.27100000000000002</v>
      </c>
      <c r="M80" s="80">
        <f>1-(Table13[[#This Row],[NbP]]+Table13[[#This Row],[NbP2]])</f>
        <v>0.57786199977705943</v>
      </c>
    </row>
    <row r="81" spans="1:13" ht="20">
      <c r="A81" s="78" t="s">
        <v>2218</v>
      </c>
      <c r="B81" s="78" t="s">
        <v>297</v>
      </c>
      <c r="C81" s="78">
        <v>29</v>
      </c>
      <c r="D81" s="98">
        <f>Table10[[#This Row],[2019]]/C176</f>
        <v>1.6843817157460648E-3</v>
      </c>
      <c r="F81" s="16" t="s">
        <v>2268</v>
      </c>
      <c r="G81" s="17">
        <v>6490</v>
      </c>
      <c r="H81" s="80">
        <f>Table13[[#This Row],[TRUMP VOTES]]/C176</f>
        <v>0.37695301155834349</v>
      </c>
      <c r="I81" s="18">
        <v>0.71</v>
      </c>
      <c r="J81" s="17">
        <v>2438</v>
      </c>
      <c r="K81" s="91">
        <f>Table13[[#This Row],[BIDEN VOTES]]/C176</f>
        <v>0.1416042283789278</v>
      </c>
      <c r="L81" s="18">
        <v>0.26700000000000002</v>
      </c>
      <c r="M81" s="80">
        <f>1-(Table13[[#This Row],[NbP]]+Table13[[#This Row],[NbP2]])</f>
        <v>0.48144276006272868</v>
      </c>
    </row>
    <row r="82" spans="1:13" ht="20">
      <c r="A82" s="78" t="s">
        <v>2219</v>
      </c>
      <c r="B82" s="78" t="s">
        <v>297</v>
      </c>
      <c r="C82" s="78">
        <v>10</v>
      </c>
      <c r="D82" s="98">
        <f>Table10[[#This Row],[2019]]/C177</f>
        <v>1.9175455417066154E-3</v>
      </c>
      <c r="F82" s="16" t="s">
        <v>2269</v>
      </c>
      <c r="G82" s="17">
        <v>2292</v>
      </c>
      <c r="H82" s="80">
        <f>Table13[[#This Row],[TRUMP VOTES]]/C177</f>
        <v>0.43950143815915627</v>
      </c>
      <c r="I82" s="18">
        <v>0.85799999999999998</v>
      </c>
      <c r="J82" s="19">
        <v>340</v>
      </c>
      <c r="K82" s="91">
        <f>Table13[[#This Row],[BIDEN VOTES]]/C177</f>
        <v>6.5196548418024927E-2</v>
      </c>
      <c r="L82" s="18">
        <v>0.127</v>
      </c>
      <c r="M82" s="80">
        <f>1-(Table13[[#This Row],[NbP]]+Table13[[#This Row],[NbP2]])</f>
        <v>0.49530201342281877</v>
      </c>
    </row>
    <row r="83" spans="1:13" ht="20">
      <c r="A83" s="78" t="s">
        <v>303</v>
      </c>
      <c r="B83" s="78" t="s">
        <v>297</v>
      </c>
      <c r="C83" s="78">
        <v>0</v>
      </c>
      <c r="D83" s="98">
        <f>Table10[[#This Row],[2019]]/C178</f>
        <v>0</v>
      </c>
      <c r="F83" s="16" t="s">
        <v>288</v>
      </c>
      <c r="G83" s="17">
        <v>1322</v>
      </c>
      <c r="H83" s="80">
        <f>Table13[[#This Row],[TRUMP VOTES]]/C178</f>
        <v>0.43847429519071313</v>
      </c>
      <c r="I83" s="18">
        <v>0.77900000000000003</v>
      </c>
      <c r="J83" s="19">
        <v>343</v>
      </c>
      <c r="K83" s="91">
        <f>Table13[[#This Row],[BIDEN VOTES]]/C178</f>
        <v>0.11376451077943615</v>
      </c>
      <c r="L83" s="18">
        <v>0.20200000000000001</v>
      </c>
      <c r="M83" s="80">
        <f>1-(Table13[[#This Row],[NbP]]+Table13[[#This Row],[NbP2]])</f>
        <v>0.44776119402985071</v>
      </c>
    </row>
    <row r="84" spans="1:13" ht="20">
      <c r="A84" s="78" t="s">
        <v>1524</v>
      </c>
      <c r="B84" s="78" t="s">
        <v>297</v>
      </c>
      <c r="C84" s="78">
        <v>4</v>
      </c>
      <c r="D84" s="98">
        <f>Table10[[#This Row],[2019]]/C179</f>
        <v>3.0816640986132513E-3</v>
      </c>
      <c r="F84" s="16" t="s">
        <v>1567</v>
      </c>
      <c r="G84" s="19">
        <v>642</v>
      </c>
      <c r="H84" s="80">
        <f>Table13[[#This Row],[TRUMP VOTES]]/C179</f>
        <v>0.49460708782742679</v>
      </c>
      <c r="I84" s="18">
        <v>0.88100000000000001</v>
      </c>
      <c r="J84" s="19">
        <v>72</v>
      </c>
      <c r="K84" s="91">
        <f>Table13[[#This Row],[BIDEN VOTES]]/C179</f>
        <v>5.5469953775038522E-2</v>
      </c>
      <c r="L84" s="18">
        <v>9.9000000000000005E-2</v>
      </c>
      <c r="M84" s="80">
        <f>1-(Table13[[#This Row],[NbP]]+Table13[[#This Row],[NbP2]])</f>
        <v>0.44992295839753471</v>
      </c>
    </row>
    <row r="85" spans="1:13" ht="20">
      <c r="A85" s="78" t="s">
        <v>2220</v>
      </c>
      <c r="B85" s="78" t="s">
        <v>297</v>
      </c>
      <c r="C85" s="78">
        <v>4</v>
      </c>
      <c r="D85" s="98">
        <f>Table10[[#This Row],[2019]]/C180</f>
        <v>6.7272115708039018E-4</v>
      </c>
      <c r="F85" s="16" t="s">
        <v>2270</v>
      </c>
      <c r="G85" s="17">
        <v>2561</v>
      </c>
      <c r="H85" s="80">
        <f>Table13[[#This Row],[TRUMP VOTES]]/C180</f>
        <v>0.43070972082071979</v>
      </c>
      <c r="I85" s="18">
        <v>0.81</v>
      </c>
      <c r="J85" s="19">
        <v>532</v>
      </c>
      <c r="K85" s="91">
        <f>Table13[[#This Row],[BIDEN VOTES]]/C180</f>
        <v>8.9471913891691887E-2</v>
      </c>
      <c r="L85" s="18">
        <v>0.16800000000000001</v>
      </c>
      <c r="M85" s="80">
        <f>1-(Table13[[#This Row],[NbP]]+Table13[[#This Row],[NbP2]])</f>
        <v>0.47981836528758837</v>
      </c>
    </row>
    <row r="86" spans="1:13" ht="20">
      <c r="A86" s="78" t="s">
        <v>2221</v>
      </c>
      <c r="B86" s="78" t="s">
        <v>297</v>
      </c>
      <c r="C86" s="78">
        <v>7</v>
      </c>
      <c r="D86" s="98">
        <f>Table10[[#This Row],[2019]]/C181</f>
        <v>1.4E-3</v>
      </c>
      <c r="F86" s="16" t="s">
        <v>2271</v>
      </c>
      <c r="G86" s="17">
        <v>2308</v>
      </c>
      <c r="H86" s="80">
        <f>Table13[[#This Row],[TRUMP VOTES]]/C181</f>
        <v>0.46160000000000001</v>
      </c>
      <c r="I86" s="18">
        <v>0.77400000000000002</v>
      </c>
      <c r="J86" s="19">
        <v>624</v>
      </c>
      <c r="K86" s="91">
        <f>Table13[[#This Row],[BIDEN VOTES]]/C181</f>
        <v>0.12479999999999999</v>
      </c>
      <c r="L86" s="18">
        <v>0.20899999999999999</v>
      </c>
      <c r="M86" s="80">
        <f>1-(Table13[[#This Row],[NbP]]+Table13[[#This Row],[NbP2]])</f>
        <v>0.41359999999999997</v>
      </c>
    </row>
    <row r="87" spans="1:13" ht="20">
      <c r="A87" s="78" t="s">
        <v>1290</v>
      </c>
      <c r="B87" s="78" t="s">
        <v>297</v>
      </c>
      <c r="C87" s="78">
        <v>0</v>
      </c>
      <c r="D87" s="98">
        <f>Table10[[#This Row],[2019]]/C182</f>
        <v>0</v>
      </c>
      <c r="F87" s="16" t="s">
        <v>1383</v>
      </c>
      <c r="G87" s="19">
        <v>377</v>
      </c>
      <c r="H87" s="80">
        <f>Table13[[#This Row],[TRUMP VOTES]]/C182</f>
        <v>0.64334470989761094</v>
      </c>
      <c r="I87" s="18">
        <v>0.88300000000000001</v>
      </c>
      <c r="J87" s="19">
        <v>45</v>
      </c>
      <c r="K87" s="91">
        <f>Table13[[#This Row],[BIDEN VOTES]]/C182</f>
        <v>7.6791808873720141E-2</v>
      </c>
      <c r="L87" s="18">
        <v>0.105</v>
      </c>
      <c r="M87" s="80">
        <f>1-(Table13[[#This Row],[NbP]]+Table13[[#This Row],[NbP2]])</f>
        <v>0.27986348122866889</v>
      </c>
    </row>
    <row r="88" spans="1:13" ht="20">
      <c r="A88" s="78" t="s">
        <v>2222</v>
      </c>
      <c r="B88" s="78" t="s">
        <v>297</v>
      </c>
      <c r="C88" s="78">
        <v>41</v>
      </c>
      <c r="D88" s="98">
        <f>Table10[[#This Row],[2019]]/C183</f>
        <v>5.6802438348573011E-3</v>
      </c>
      <c r="F88" s="16" t="s">
        <v>2272</v>
      </c>
      <c r="G88" s="17">
        <v>1180</v>
      </c>
      <c r="H88" s="80">
        <f>Table13[[#This Row],[TRUMP VOTES]]/C183</f>
        <v>0.16348018841784429</v>
      </c>
      <c r="I88" s="18">
        <v>0.50800000000000001</v>
      </c>
      <c r="J88" s="17">
        <v>1122</v>
      </c>
      <c r="K88" s="91">
        <f>Table13[[#This Row],[BIDEN VOTES]]/C183</f>
        <v>0.15544472152950956</v>
      </c>
      <c r="L88" s="18">
        <v>0.48299999999999998</v>
      </c>
      <c r="M88" s="80">
        <f>1-(Table13[[#This Row],[NbP]]+Table13[[#This Row],[NbP2]])</f>
        <v>0.6810750900526461</v>
      </c>
    </row>
    <row r="89" spans="1:13" ht="20">
      <c r="A89" s="78" t="s">
        <v>2223</v>
      </c>
      <c r="B89" s="78" t="s">
        <v>297</v>
      </c>
      <c r="C89" s="78">
        <v>7</v>
      </c>
      <c r="D89" s="98">
        <f>Table10[[#This Row],[2019]]/C184</f>
        <v>1.7073170731707317E-3</v>
      </c>
      <c r="F89" s="16" t="s">
        <v>2273</v>
      </c>
      <c r="G89" s="17">
        <v>1901</v>
      </c>
      <c r="H89" s="80">
        <f>Table13[[#This Row],[TRUMP VOTES]]/C184</f>
        <v>0.46365853658536588</v>
      </c>
      <c r="I89" s="18">
        <v>0.81200000000000006</v>
      </c>
      <c r="J89" s="19">
        <v>412</v>
      </c>
      <c r="K89" s="91">
        <f>Table13[[#This Row],[BIDEN VOTES]]/C184</f>
        <v>0.10048780487804879</v>
      </c>
      <c r="L89" s="18">
        <v>0.17599999999999999</v>
      </c>
      <c r="M89" s="80">
        <f>1-(Table13[[#This Row],[NbP]]+Table13[[#This Row],[NbP2]])</f>
        <v>0.43585365853658531</v>
      </c>
    </row>
    <row r="90" spans="1:13" ht="20">
      <c r="A90" s="78" t="s">
        <v>38</v>
      </c>
      <c r="B90" s="78" t="s">
        <v>297</v>
      </c>
      <c r="C90" s="78">
        <v>27</v>
      </c>
      <c r="D90" s="98">
        <f>Table10[[#This Row],[2019]]/C185</f>
        <v>1.3141244037768909E-3</v>
      </c>
      <c r="F90" s="16" t="s">
        <v>258</v>
      </c>
      <c r="G90" s="17">
        <v>8583</v>
      </c>
      <c r="H90" s="80">
        <f>Table13[[#This Row],[TRUMP VOTES]]/C185</f>
        <v>0.4177455465784094</v>
      </c>
      <c r="I90" s="18">
        <v>0.69099999999999995</v>
      </c>
      <c r="J90" s="17">
        <v>3554</v>
      </c>
      <c r="K90" s="91">
        <f>Table13[[#This Row],[BIDEN VOTES]]/C185</f>
        <v>0.17297770855641001</v>
      </c>
      <c r="L90" s="18">
        <v>0.28599999999999998</v>
      </c>
      <c r="M90" s="80">
        <f>1-(Table13[[#This Row],[NbP]]+Table13[[#This Row],[NbP2]])</f>
        <v>0.40927674486518062</v>
      </c>
    </row>
    <row r="91" spans="1:13" ht="20">
      <c r="A91" s="78" t="s">
        <v>160</v>
      </c>
      <c r="B91" s="78" t="s">
        <v>297</v>
      </c>
      <c r="C91" s="78">
        <v>10</v>
      </c>
      <c r="D91" s="98">
        <f>Table10[[#This Row],[2019]]/C186</f>
        <v>1.0651896037494673E-3</v>
      </c>
      <c r="F91" s="16" t="s">
        <v>259</v>
      </c>
      <c r="G91" s="17">
        <v>3055</v>
      </c>
      <c r="H91" s="80">
        <f>Table13[[#This Row],[TRUMP VOTES]]/C186</f>
        <v>0.3254154239454623</v>
      </c>
      <c r="I91" s="18">
        <v>0.72699999999999998</v>
      </c>
      <c r="J91" s="17">
        <v>1022</v>
      </c>
      <c r="K91" s="91">
        <f>Table13[[#This Row],[BIDEN VOTES]]/C186</f>
        <v>0.10886237750319556</v>
      </c>
      <c r="L91" s="18">
        <v>0.24299999999999999</v>
      </c>
      <c r="M91" s="80">
        <f>1-(Table13[[#This Row],[NbP]]+Table13[[#This Row],[NbP2]])</f>
        <v>0.56572219855134209</v>
      </c>
    </row>
    <row r="92" spans="1:13" ht="20">
      <c r="A92" s="78" t="s">
        <v>884</v>
      </c>
      <c r="B92" s="78" t="s">
        <v>297</v>
      </c>
      <c r="C92" s="78">
        <v>2</v>
      </c>
      <c r="D92" s="98">
        <f>Table10[[#This Row],[2019]]/C187</f>
        <v>5.7191878753217048E-4</v>
      </c>
      <c r="F92" s="16" t="s">
        <v>853</v>
      </c>
      <c r="G92" s="17">
        <v>1511</v>
      </c>
      <c r="H92" s="80">
        <f>Table13[[#This Row],[TRUMP VOTES]]/C187</f>
        <v>0.43208464398055474</v>
      </c>
      <c r="I92" s="18">
        <v>0.80500000000000005</v>
      </c>
      <c r="J92" s="19">
        <v>335</v>
      </c>
      <c r="K92" s="91">
        <f>Table13[[#This Row],[BIDEN VOTES]]/C187</f>
        <v>9.5796396911638548E-2</v>
      </c>
      <c r="L92" s="18">
        <v>0.17899999999999999</v>
      </c>
      <c r="M92" s="80">
        <f>1-(Table13[[#This Row],[NbP]]+Table13[[#This Row],[NbP2]])</f>
        <v>0.47211895910780677</v>
      </c>
    </row>
    <row r="93" spans="1:13" ht="20">
      <c r="A93" s="78" t="s">
        <v>298</v>
      </c>
      <c r="B93" s="78" t="s">
        <v>297</v>
      </c>
      <c r="C93" s="78">
        <v>0</v>
      </c>
      <c r="D93" s="98">
        <f>Table10[[#This Row],[2019]]/C188</f>
        <v>0</v>
      </c>
      <c r="F93" s="16" t="s">
        <v>293</v>
      </c>
      <c r="G93" s="19">
        <v>438</v>
      </c>
      <c r="H93" s="80">
        <f>Table13[[#This Row],[TRUMP VOTES]]/C188</f>
        <v>0.63570391872278664</v>
      </c>
      <c r="I93" s="18">
        <v>0.873</v>
      </c>
      <c r="J93" s="19">
        <v>59</v>
      </c>
      <c r="K93" s="91">
        <f>Table13[[#This Row],[BIDEN VOTES]]/C188</f>
        <v>8.5631349782293184E-2</v>
      </c>
      <c r="L93" s="18">
        <v>0.11799999999999999</v>
      </c>
      <c r="M93" s="80">
        <f>1-(Table13[[#This Row],[NbP]]+Table13[[#This Row],[NbP2]])</f>
        <v>0.27866473149492021</v>
      </c>
    </row>
    <row r="94" spans="1:13" ht="20">
      <c r="A94" s="78" t="s">
        <v>1701</v>
      </c>
      <c r="B94" s="78" t="s">
        <v>297</v>
      </c>
      <c r="C94" s="78">
        <v>17</v>
      </c>
      <c r="D94" s="98">
        <f>Table10[[#This Row],[2019]]/C189</f>
        <v>1.2435081559505523E-3</v>
      </c>
      <c r="F94" s="16" t="s">
        <v>1703</v>
      </c>
      <c r="G94" s="17">
        <v>5337</v>
      </c>
      <c r="H94" s="80">
        <f>Table13[[#This Row],[TRUMP VOTES]]/C189</f>
        <v>0.39038841342988806</v>
      </c>
      <c r="I94" s="18">
        <v>0.747</v>
      </c>
      <c r="J94" s="17">
        <v>1630</v>
      </c>
      <c r="K94" s="91">
        <f>Table13[[#This Row],[BIDEN VOTES]]/C189</f>
        <v>0.11923048789408236</v>
      </c>
      <c r="L94" s="18">
        <v>0.22800000000000001</v>
      </c>
      <c r="M94" s="80">
        <f>1-(Table13[[#This Row],[NbP]]+Table13[[#This Row],[NbP2]])</f>
        <v>0.49038109867602953</v>
      </c>
    </row>
    <row r="96" spans="1:13" ht="21">
      <c r="A96" s="77" t="s">
        <v>1670</v>
      </c>
      <c r="B96" s="77" t="s">
        <v>69</v>
      </c>
      <c r="C96" s="77" t="s">
        <v>54</v>
      </c>
    </row>
    <row r="97" spans="1:3" ht="21">
      <c r="A97" s="52">
        <v>11</v>
      </c>
      <c r="B97" s="53" t="s">
        <v>1144</v>
      </c>
      <c r="C97" s="54">
        <v>31541</v>
      </c>
    </row>
    <row r="98" spans="1:3" ht="21">
      <c r="A98" s="52">
        <v>46</v>
      </c>
      <c r="B98" s="53" t="s">
        <v>2224</v>
      </c>
      <c r="C98" s="54">
        <v>6315</v>
      </c>
    </row>
    <row r="99" spans="1:3" ht="21">
      <c r="A99" s="52">
        <v>92</v>
      </c>
      <c r="B99" s="53" t="s">
        <v>2225</v>
      </c>
      <c r="C99" s="52">
        <v>439</v>
      </c>
    </row>
    <row r="100" spans="1:3" ht="21">
      <c r="A100" s="52">
        <v>89</v>
      </c>
      <c r="B100" s="53" t="s">
        <v>2226</v>
      </c>
      <c r="C100" s="52">
        <v>645</v>
      </c>
    </row>
    <row r="101" spans="1:3" ht="21">
      <c r="A101" s="52">
        <v>91</v>
      </c>
      <c r="B101" s="53" t="s">
        <v>2227</v>
      </c>
      <c r="C101" s="52">
        <v>467</v>
      </c>
    </row>
    <row r="102" spans="1:3" ht="21">
      <c r="A102" s="52">
        <v>52</v>
      </c>
      <c r="B102" s="53" t="s">
        <v>827</v>
      </c>
      <c r="C102" s="54">
        <v>5228</v>
      </c>
    </row>
    <row r="103" spans="1:3" ht="21">
      <c r="A103" s="52">
        <v>22</v>
      </c>
      <c r="B103" s="53" t="s">
        <v>2228</v>
      </c>
      <c r="C103" s="54">
        <v>10845</v>
      </c>
    </row>
    <row r="104" spans="1:3" ht="21">
      <c r="A104" s="52">
        <v>78</v>
      </c>
      <c r="B104" s="53" t="s">
        <v>1627</v>
      </c>
      <c r="C104" s="54">
        <v>1882</v>
      </c>
    </row>
    <row r="105" spans="1:3" ht="21">
      <c r="A105" s="52">
        <v>69</v>
      </c>
      <c r="B105" s="53" t="s">
        <v>354</v>
      </c>
      <c r="C105" s="54">
        <v>2887</v>
      </c>
    </row>
    <row r="106" spans="1:3" ht="21">
      <c r="A106" s="52">
        <v>5</v>
      </c>
      <c r="B106" s="53" t="s">
        <v>2229</v>
      </c>
      <c r="C106" s="54">
        <v>49594</v>
      </c>
    </row>
    <row r="107" spans="1:3" ht="21">
      <c r="A107" s="52">
        <v>44</v>
      </c>
      <c r="B107" s="53" t="s">
        <v>2230</v>
      </c>
      <c r="C107" s="54">
        <v>6503</v>
      </c>
    </row>
    <row r="108" spans="1:3" ht="21">
      <c r="A108" s="52">
        <v>36</v>
      </c>
      <c r="B108" s="53" t="s">
        <v>926</v>
      </c>
      <c r="C108" s="54">
        <v>7997</v>
      </c>
    </row>
    <row r="109" spans="1:3" ht="21">
      <c r="A109" s="52">
        <v>12</v>
      </c>
      <c r="B109" s="53" t="s">
        <v>363</v>
      </c>
      <c r="C109" s="54">
        <v>26022</v>
      </c>
    </row>
    <row r="110" spans="1:3" ht="21">
      <c r="A110" s="52">
        <v>33</v>
      </c>
      <c r="B110" s="53" t="s">
        <v>1539</v>
      </c>
      <c r="C110" s="54">
        <v>8483</v>
      </c>
    </row>
    <row r="111" spans="1:3" ht="21">
      <c r="A111" s="52">
        <v>61</v>
      </c>
      <c r="B111" s="53" t="s">
        <v>2231</v>
      </c>
      <c r="C111" s="54">
        <v>3707</v>
      </c>
    </row>
    <row r="112" spans="1:3" ht="21">
      <c r="A112" s="52">
        <v>49</v>
      </c>
      <c r="B112" s="53" t="s">
        <v>2232</v>
      </c>
      <c r="C112" s="54">
        <v>5801</v>
      </c>
    </row>
    <row r="113" spans="1:3" ht="21">
      <c r="A113" s="52">
        <v>27</v>
      </c>
      <c r="B113" s="53" t="s">
        <v>1152</v>
      </c>
      <c r="C113" s="54">
        <v>9428</v>
      </c>
    </row>
    <row r="114" spans="1:3" ht="21">
      <c r="A114" s="52">
        <v>47</v>
      </c>
      <c r="B114" s="53" t="s">
        <v>183</v>
      </c>
      <c r="C114" s="54">
        <v>6193</v>
      </c>
    </row>
    <row r="115" spans="1:3" ht="21">
      <c r="A115" s="52">
        <v>25</v>
      </c>
      <c r="B115" s="53" t="s">
        <v>2233</v>
      </c>
      <c r="C115" s="54">
        <v>10681</v>
      </c>
    </row>
    <row r="116" spans="1:3" ht="21">
      <c r="A116" s="52">
        <v>31</v>
      </c>
      <c r="B116" s="53" t="s">
        <v>2234</v>
      </c>
      <c r="C116" s="54">
        <v>8882</v>
      </c>
    </row>
    <row r="117" spans="1:3" ht="21">
      <c r="A117" s="52">
        <v>23</v>
      </c>
      <c r="B117" s="53" t="s">
        <v>1157</v>
      </c>
      <c r="C117" s="54">
        <v>10788</v>
      </c>
    </row>
    <row r="118" spans="1:3" ht="21">
      <c r="A118" s="52">
        <v>17</v>
      </c>
      <c r="B118" s="53" t="s">
        <v>1955</v>
      </c>
      <c r="C118" s="54">
        <v>20124</v>
      </c>
    </row>
    <row r="119" spans="1:3" ht="21">
      <c r="A119" s="52">
        <v>32</v>
      </c>
      <c r="B119" s="53" t="s">
        <v>2235</v>
      </c>
      <c r="C119" s="54">
        <v>8685</v>
      </c>
    </row>
    <row r="120" spans="1:3" ht="21">
      <c r="A120" s="52">
        <v>13</v>
      </c>
      <c r="B120" s="53" t="s">
        <v>385</v>
      </c>
      <c r="C120" s="54">
        <v>23638</v>
      </c>
    </row>
    <row r="121" spans="1:3" ht="21">
      <c r="A121" s="52">
        <v>79</v>
      </c>
      <c r="B121" s="53" t="s">
        <v>2236</v>
      </c>
      <c r="C121" s="54">
        <v>1770</v>
      </c>
    </row>
    <row r="122" spans="1:3" ht="21">
      <c r="A122" s="52">
        <v>50</v>
      </c>
      <c r="B122" s="53" t="s">
        <v>2237</v>
      </c>
      <c r="C122" s="54">
        <v>5682</v>
      </c>
    </row>
    <row r="123" spans="1:3" ht="21">
      <c r="A123" s="52">
        <v>6</v>
      </c>
      <c r="B123" s="53" t="s">
        <v>1334</v>
      </c>
      <c r="C123" s="54">
        <v>36565</v>
      </c>
    </row>
    <row r="124" spans="1:3" ht="21">
      <c r="A124" s="52">
        <v>1</v>
      </c>
      <c r="B124" s="53" t="s">
        <v>276</v>
      </c>
      <c r="C124" s="54">
        <v>565739</v>
      </c>
    </row>
    <row r="125" spans="1:3" ht="21">
      <c r="A125" s="52">
        <v>76</v>
      </c>
      <c r="B125" s="53" t="s">
        <v>2238</v>
      </c>
      <c r="C125" s="54">
        <v>1928</v>
      </c>
    </row>
    <row r="126" spans="1:3" ht="21">
      <c r="A126" s="52">
        <v>51</v>
      </c>
      <c r="B126" s="53" t="s">
        <v>1957</v>
      </c>
      <c r="C126" s="54">
        <v>5542</v>
      </c>
    </row>
    <row r="127" spans="1:3" ht="21">
      <c r="A127" s="52">
        <v>67</v>
      </c>
      <c r="B127" s="53" t="s">
        <v>195</v>
      </c>
      <c r="C127" s="54">
        <v>2970</v>
      </c>
    </row>
    <row r="128" spans="1:3" ht="21">
      <c r="A128" s="52">
        <v>72</v>
      </c>
      <c r="B128" s="53" t="s">
        <v>2239</v>
      </c>
      <c r="C128" s="54">
        <v>2636</v>
      </c>
    </row>
    <row r="129" spans="1:3" ht="21">
      <c r="A129" s="52">
        <v>57</v>
      </c>
      <c r="B129" s="53" t="s">
        <v>2240</v>
      </c>
      <c r="C129" s="54">
        <v>4712</v>
      </c>
    </row>
    <row r="130" spans="1:3" ht="21">
      <c r="A130" s="52">
        <v>14</v>
      </c>
      <c r="B130" s="53" t="s">
        <v>2241</v>
      </c>
      <c r="C130" s="54">
        <v>21548</v>
      </c>
    </row>
    <row r="131" spans="1:3" ht="21">
      <c r="A131" s="52">
        <v>77</v>
      </c>
      <c r="B131" s="53" t="s">
        <v>2242</v>
      </c>
      <c r="C131" s="54">
        <v>1916</v>
      </c>
    </row>
    <row r="132" spans="1:3" ht="21">
      <c r="A132" s="52">
        <v>74</v>
      </c>
      <c r="B132" s="53" t="s">
        <v>1163</v>
      </c>
      <c r="C132" s="54">
        <v>2081</v>
      </c>
    </row>
    <row r="133" spans="1:3" ht="21">
      <c r="A133" s="52">
        <v>75</v>
      </c>
      <c r="B133" s="53" t="s">
        <v>2243</v>
      </c>
      <c r="C133" s="54">
        <v>2001</v>
      </c>
    </row>
    <row r="134" spans="1:3" ht="21">
      <c r="A134" s="52">
        <v>86</v>
      </c>
      <c r="B134" s="53" t="s">
        <v>278</v>
      </c>
      <c r="C134" s="52">
        <v>691</v>
      </c>
    </row>
    <row r="135" spans="1:3" ht="21">
      <c r="A135" s="52">
        <v>73</v>
      </c>
      <c r="B135" s="53" t="s">
        <v>2244</v>
      </c>
      <c r="C135" s="54">
        <v>2361</v>
      </c>
    </row>
    <row r="136" spans="1:3" ht="21">
      <c r="A136" s="52">
        <v>4</v>
      </c>
      <c r="B136" s="53" t="s">
        <v>421</v>
      </c>
      <c r="C136" s="54">
        <v>61338</v>
      </c>
    </row>
    <row r="137" spans="1:3" ht="21">
      <c r="A137" s="52">
        <v>29</v>
      </c>
      <c r="B137" s="53" t="s">
        <v>202</v>
      </c>
      <c r="C137" s="54">
        <v>9219</v>
      </c>
    </row>
    <row r="138" spans="1:3" ht="21">
      <c r="A138" s="52">
        <v>65</v>
      </c>
      <c r="B138" s="53" t="s">
        <v>1645</v>
      </c>
      <c r="C138" s="54">
        <v>3380</v>
      </c>
    </row>
    <row r="139" spans="1:3" ht="21">
      <c r="A139" s="52">
        <v>83</v>
      </c>
      <c r="B139" s="53" t="s">
        <v>2245</v>
      </c>
      <c r="C139" s="52">
        <v>889</v>
      </c>
    </row>
    <row r="140" spans="1:3" ht="21">
      <c r="A140" s="52">
        <v>70</v>
      </c>
      <c r="B140" s="53" t="s">
        <v>2246</v>
      </c>
      <c r="C140" s="54">
        <v>2788</v>
      </c>
    </row>
    <row r="141" spans="1:3" ht="21">
      <c r="A141" s="52">
        <v>26</v>
      </c>
      <c r="B141" s="53" t="s">
        <v>2144</v>
      </c>
      <c r="C141" s="54">
        <v>10123</v>
      </c>
    </row>
    <row r="142" spans="1:3" ht="21">
      <c r="A142" s="52">
        <v>85</v>
      </c>
      <c r="B142" s="53" t="s">
        <v>2247</v>
      </c>
      <c r="C142" s="52">
        <v>741</v>
      </c>
    </row>
    <row r="143" spans="1:3" ht="21">
      <c r="A143" s="52">
        <v>45</v>
      </c>
      <c r="B143" s="53" t="s">
        <v>434</v>
      </c>
      <c r="C143" s="54">
        <v>6428</v>
      </c>
    </row>
    <row r="144" spans="1:3" ht="21">
      <c r="A144" s="52">
        <v>41</v>
      </c>
      <c r="B144" s="53" t="s">
        <v>214</v>
      </c>
      <c r="C144" s="54">
        <v>7102</v>
      </c>
    </row>
    <row r="145" spans="1:3" ht="21">
      <c r="A145" s="52">
        <v>55</v>
      </c>
      <c r="B145" s="53" t="s">
        <v>215</v>
      </c>
      <c r="C145" s="54">
        <v>5118</v>
      </c>
    </row>
    <row r="146" spans="1:3" ht="21">
      <c r="A146" s="52">
        <v>43</v>
      </c>
      <c r="B146" s="53" t="s">
        <v>2248</v>
      </c>
      <c r="C146" s="54">
        <v>6588</v>
      </c>
    </row>
    <row r="147" spans="1:3" ht="21">
      <c r="A147" s="52">
        <v>35</v>
      </c>
      <c r="B147" s="53" t="s">
        <v>2249</v>
      </c>
      <c r="C147" s="54">
        <v>8048</v>
      </c>
    </row>
    <row r="148" spans="1:3" ht="21">
      <c r="A148" s="52">
        <v>84</v>
      </c>
      <c r="B148" s="53" t="s">
        <v>2250</v>
      </c>
      <c r="C148" s="52">
        <v>875</v>
      </c>
    </row>
    <row r="149" spans="1:3" ht="21">
      <c r="A149" s="52">
        <v>62</v>
      </c>
      <c r="B149" s="53" t="s">
        <v>2251</v>
      </c>
      <c r="C149" s="54">
        <v>3576</v>
      </c>
    </row>
    <row r="150" spans="1:3" ht="21">
      <c r="A150" s="52">
        <v>34</v>
      </c>
      <c r="B150" s="53" t="s">
        <v>216</v>
      </c>
      <c r="C150" s="54">
        <v>8400</v>
      </c>
    </row>
    <row r="151" spans="1:3" ht="21">
      <c r="A151" s="52">
        <v>2</v>
      </c>
      <c r="B151" s="53" t="s">
        <v>2252</v>
      </c>
      <c r="C151" s="54">
        <v>315976</v>
      </c>
    </row>
    <row r="152" spans="1:3" ht="21">
      <c r="A152" s="52">
        <v>8</v>
      </c>
      <c r="B152" s="53" t="s">
        <v>221</v>
      </c>
      <c r="C152" s="54">
        <v>35042</v>
      </c>
    </row>
    <row r="153" spans="1:3" ht="21">
      <c r="A153" s="52">
        <v>82</v>
      </c>
      <c r="B153" s="53" t="s">
        <v>837</v>
      </c>
      <c r="C153" s="52">
        <v>896</v>
      </c>
    </row>
    <row r="154" spans="1:3" ht="21">
      <c r="A154" s="52">
        <v>87</v>
      </c>
      <c r="B154" s="53" t="s">
        <v>2253</v>
      </c>
      <c r="C154" s="52">
        <v>690</v>
      </c>
    </row>
    <row r="155" spans="1:3" ht="21">
      <c r="A155" s="52">
        <v>9</v>
      </c>
      <c r="B155" s="53" t="s">
        <v>226</v>
      </c>
      <c r="C155" s="54">
        <v>35023</v>
      </c>
    </row>
    <row r="156" spans="1:3" ht="21">
      <c r="A156" s="52">
        <v>93</v>
      </c>
      <c r="B156" s="53" t="s">
        <v>2254</v>
      </c>
      <c r="C156" s="52">
        <v>420</v>
      </c>
    </row>
    <row r="157" spans="1:3" ht="21">
      <c r="A157" s="52">
        <v>38</v>
      </c>
      <c r="B157" s="53" t="s">
        <v>2255</v>
      </c>
      <c r="C157" s="54">
        <v>7826</v>
      </c>
    </row>
    <row r="158" spans="1:3" ht="21">
      <c r="A158" s="52">
        <v>58</v>
      </c>
      <c r="B158" s="53" t="s">
        <v>2256</v>
      </c>
      <c r="C158" s="54">
        <v>4711</v>
      </c>
    </row>
    <row r="159" spans="1:3" ht="21">
      <c r="A159" s="52">
        <v>63</v>
      </c>
      <c r="B159" s="53" t="s">
        <v>2257</v>
      </c>
      <c r="C159" s="54">
        <v>3525</v>
      </c>
    </row>
    <row r="160" spans="1:3" ht="21">
      <c r="A160" s="52">
        <v>42</v>
      </c>
      <c r="B160" s="53" t="s">
        <v>2258</v>
      </c>
      <c r="C160" s="54">
        <v>6978</v>
      </c>
    </row>
    <row r="161" spans="1:3" ht="21">
      <c r="A161" s="52">
        <v>59</v>
      </c>
      <c r="B161" s="53" t="s">
        <v>2259</v>
      </c>
      <c r="C161" s="54">
        <v>4204</v>
      </c>
    </row>
    <row r="162" spans="1:3" ht="21">
      <c r="A162" s="52">
        <v>19</v>
      </c>
      <c r="B162" s="53" t="s">
        <v>2260</v>
      </c>
      <c r="C162" s="54">
        <v>15965</v>
      </c>
    </row>
    <row r="163" spans="1:3" ht="21">
      <c r="A163" s="52">
        <v>71</v>
      </c>
      <c r="B163" s="53" t="s">
        <v>2261</v>
      </c>
      <c r="C163" s="54">
        <v>2640</v>
      </c>
    </row>
    <row r="164" spans="1:3" ht="21">
      <c r="A164" s="52">
        <v>68</v>
      </c>
      <c r="B164" s="53" t="s">
        <v>2262</v>
      </c>
      <c r="C164" s="54">
        <v>2889</v>
      </c>
    </row>
    <row r="165" spans="1:3" ht="21">
      <c r="A165" s="52">
        <v>30</v>
      </c>
      <c r="B165" s="53" t="s">
        <v>2158</v>
      </c>
      <c r="C165" s="54">
        <v>9050</v>
      </c>
    </row>
    <row r="166" spans="1:3" ht="21">
      <c r="A166" s="52">
        <v>40</v>
      </c>
      <c r="B166" s="53" t="s">
        <v>1369</v>
      </c>
      <c r="C166" s="54">
        <v>7132</v>
      </c>
    </row>
    <row r="167" spans="1:3" ht="21">
      <c r="A167" s="52">
        <v>10</v>
      </c>
      <c r="B167" s="53" t="s">
        <v>2159</v>
      </c>
      <c r="C167" s="54">
        <v>33250</v>
      </c>
    </row>
    <row r="168" spans="1:3" ht="21">
      <c r="A168" s="52">
        <v>54</v>
      </c>
      <c r="B168" s="53" t="s">
        <v>239</v>
      </c>
      <c r="C168" s="54">
        <v>5208</v>
      </c>
    </row>
    <row r="169" spans="1:3" ht="21">
      <c r="A169" s="52">
        <v>24</v>
      </c>
      <c r="B169" s="53" t="s">
        <v>2263</v>
      </c>
      <c r="C169" s="54">
        <v>10725</v>
      </c>
    </row>
    <row r="170" spans="1:3" ht="21">
      <c r="A170" s="52">
        <v>37</v>
      </c>
      <c r="B170" s="53" t="s">
        <v>2264</v>
      </c>
      <c r="C170" s="54">
        <v>7913</v>
      </c>
    </row>
    <row r="171" spans="1:3" ht="21">
      <c r="A171" s="52">
        <v>80</v>
      </c>
      <c r="B171" s="53" t="s">
        <v>1990</v>
      </c>
      <c r="C171" s="54">
        <v>1430</v>
      </c>
    </row>
    <row r="172" spans="1:3" ht="21">
      <c r="A172" s="52">
        <v>20</v>
      </c>
      <c r="B172" s="53" t="s">
        <v>1410</v>
      </c>
      <c r="C172" s="54">
        <v>14221</v>
      </c>
    </row>
    <row r="173" spans="1:3" ht="21">
      <c r="A173" s="52">
        <v>3</v>
      </c>
      <c r="B173" s="53" t="s">
        <v>2265</v>
      </c>
      <c r="C173" s="54">
        <v>183956</v>
      </c>
    </row>
    <row r="174" spans="1:3" ht="21">
      <c r="A174" s="52">
        <v>15</v>
      </c>
      <c r="B174" s="53" t="s">
        <v>2266</v>
      </c>
      <c r="C174" s="54">
        <v>21356</v>
      </c>
    </row>
    <row r="175" spans="1:3" ht="21">
      <c r="A175" s="52">
        <v>7</v>
      </c>
      <c r="B175" s="53" t="s">
        <v>2267</v>
      </c>
      <c r="C175" s="54">
        <v>35884</v>
      </c>
    </row>
    <row r="176" spans="1:3" ht="21">
      <c r="A176" s="52">
        <v>18</v>
      </c>
      <c r="B176" s="53" t="s">
        <v>2268</v>
      </c>
      <c r="C176" s="54">
        <v>17217</v>
      </c>
    </row>
    <row r="177" spans="1:3" ht="21">
      <c r="A177" s="52">
        <v>53</v>
      </c>
      <c r="B177" s="53" t="s">
        <v>2269</v>
      </c>
      <c r="C177" s="54">
        <v>5215</v>
      </c>
    </row>
    <row r="178" spans="1:3" ht="21">
      <c r="A178" s="52">
        <v>66</v>
      </c>
      <c r="B178" s="53" t="s">
        <v>288</v>
      </c>
      <c r="C178" s="54">
        <v>3015</v>
      </c>
    </row>
    <row r="179" spans="1:3" ht="21">
      <c r="A179" s="52">
        <v>81</v>
      </c>
      <c r="B179" s="53" t="s">
        <v>1567</v>
      </c>
      <c r="C179" s="54">
        <v>1298</v>
      </c>
    </row>
    <row r="180" spans="1:3" ht="21">
      <c r="A180" s="52">
        <v>48</v>
      </c>
      <c r="B180" s="53" t="s">
        <v>2270</v>
      </c>
      <c r="C180" s="54">
        <v>5946</v>
      </c>
    </row>
    <row r="181" spans="1:3" ht="21">
      <c r="A181" s="52">
        <v>56</v>
      </c>
      <c r="B181" s="53" t="s">
        <v>2271</v>
      </c>
      <c r="C181" s="54">
        <v>5000</v>
      </c>
    </row>
    <row r="182" spans="1:3" ht="21">
      <c r="A182" s="52">
        <v>90</v>
      </c>
      <c r="B182" s="53" t="s">
        <v>1383</v>
      </c>
      <c r="C182" s="52">
        <v>586</v>
      </c>
    </row>
    <row r="183" spans="1:3" ht="21">
      <c r="A183" s="52">
        <v>39</v>
      </c>
      <c r="B183" s="53" t="s">
        <v>2272</v>
      </c>
      <c r="C183" s="54">
        <v>7218</v>
      </c>
    </row>
    <row r="184" spans="1:3" ht="21">
      <c r="A184" s="52">
        <v>60</v>
      </c>
      <c r="B184" s="53" t="s">
        <v>2273</v>
      </c>
      <c r="C184" s="54">
        <v>4100</v>
      </c>
    </row>
    <row r="185" spans="1:3" ht="21">
      <c r="A185" s="52">
        <v>16</v>
      </c>
      <c r="B185" s="53" t="s">
        <v>258</v>
      </c>
      <c r="C185" s="54">
        <v>20546</v>
      </c>
    </row>
    <row r="186" spans="1:3" ht="21">
      <c r="A186" s="52">
        <v>28</v>
      </c>
      <c r="B186" s="53" t="s">
        <v>259</v>
      </c>
      <c r="C186" s="54">
        <v>9388</v>
      </c>
    </row>
    <row r="187" spans="1:3" ht="21">
      <c r="A187" s="52">
        <v>64</v>
      </c>
      <c r="B187" s="53" t="s">
        <v>853</v>
      </c>
      <c r="C187" s="54">
        <v>3497</v>
      </c>
    </row>
    <row r="188" spans="1:3" ht="21">
      <c r="A188" s="52">
        <v>88</v>
      </c>
      <c r="B188" s="53" t="s">
        <v>293</v>
      </c>
      <c r="C188" s="52">
        <v>689</v>
      </c>
    </row>
    <row r="189" spans="1:3" ht="21">
      <c r="A189" s="52">
        <v>21</v>
      </c>
      <c r="B189" s="53" t="s">
        <v>1703</v>
      </c>
      <c r="C189" s="54">
        <v>13671</v>
      </c>
    </row>
  </sheetData>
  <hyperlinks>
    <hyperlink ref="B124" r:id="rId1" display="https://www.nebraska-demographics.com/douglas-county-demographics" xr:uid="{FED071FB-D6A6-6A42-9314-C4F07BF9B9AE}"/>
    <hyperlink ref="B151" r:id="rId2" display="https://www.nebraska-demographics.com/lancaster-county-demographics" xr:uid="{D761F081-B4C5-3D43-9916-D9511A7D19B9}"/>
    <hyperlink ref="B173" r:id="rId3" display="https://www.nebraska-demographics.com/sarpy-county-demographics" xr:uid="{A248D615-64D0-D843-BA2A-18403B167068}"/>
    <hyperlink ref="B136" r:id="rId4" display="https://www.nebraska-demographics.com/hall-county-demographics" xr:uid="{74A9C831-5486-2C4A-8810-FDBDBB36D659}"/>
    <hyperlink ref="B106" r:id="rId5" display="https://www.nebraska-demographics.com/buffalo-county-demographics" xr:uid="{F3665007-9E9A-3D4C-8B0A-BE77BF1BD120}"/>
    <hyperlink ref="B123" r:id="rId6" display="https://www.nebraska-demographics.com/dodge-county-demographics" xr:uid="{3DD727D4-AAD9-C643-88CB-EBFB9E7E0DAB}"/>
    <hyperlink ref="B175" r:id="rId7" display="https://www.nebraska-demographics.com/scotts-bluff-county-demographics" xr:uid="{3DF78EFC-E188-6049-82B1-C8100EF3BAEB}"/>
    <hyperlink ref="B152" r:id="rId8" display="https://www.nebraska-demographics.com/lincoln-county-demographics" xr:uid="{163DC63F-9F9A-AF42-9265-F081007C9F72}"/>
    <hyperlink ref="B155" r:id="rId9" display="https://www.nebraska-demographics.com/madison-county-demographics" xr:uid="{0C6746DF-DC07-FE49-B153-26B601288257}"/>
    <hyperlink ref="B167" r:id="rId10" display="https://www.nebraska-demographics.com/platte-county-demographics" xr:uid="{7560D4A2-C0D7-5C4C-BD0A-A0A43D9E5D13}"/>
    <hyperlink ref="B97" r:id="rId11" display="https://www.nebraska-demographics.com/adams-county-demographics" xr:uid="{45F0D7AC-D0E8-3E45-A64C-ACD35B6D01F1}"/>
    <hyperlink ref="B109" r:id="rId12" display="https://www.nebraska-demographics.com/cass-county-demographics" xr:uid="{0AF0EC43-0901-2C40-AFA6-D2ABADBE2B4A}"/>
    <hyperlink ref="B120" r:id="rId13" display="https://www.nebraska-demographics.com/dawson-county-demographics" xr:uid="{716D1CD4-CE12-2349-92CB-356D5A8E67E1}"/>
    <hyperlink ref="B130" r:id="rId14" display="https://www.nebraska-demographics.com/gage-county-demographics" xr:uid="{6B08E313-C750-CC46-BF15-5EA950C731FA}"/>
    <hyperlink ref="B174" r:id="rId15" display="https://www.nebraska-demographics.com/saunders-county-demographics" xr:uid="{423969BE-6C71-7643-A717-F7E9C5650F31}"/>
    <hyperlink ref="B185" r:id="rId16" display="https://www.nebraska-demographics.com/washington-county-demographics" xr:uid="{6874BE24-4C6F-CD46-8700-BF7556789415}"/>
    <hyperlink ref="B118" r:id="rId17" display="https://www.nebraska-demographics.com/dakota-county-demographics" xr:uid="{3FA2A19C-E78E-914F-8D1C-840965D7A2A5}"/>
    <hyperlink ref="B176" r:id="rId18" display="https://www.nebraska-demographics.com/seward-county-demographics" xr:uid="{E87FE98F-D2E8-0C42-B84E-4C43CAD9B241}"/>
    <hyperlink ref="B162" r:id="rId19" display="https://www.nebraska-demographics.com/otoe-county-demographics" xr:uid="{09940D16-38DA-614B-900A-A9C66DFBB3E3}"/>
    <hyperlink ref="B172" r:id="rId20" display="https://www.nebraska-demographics.com/saline-county-demographics" xr:uid="{69CE24EA-61C7-0949-BD21-3E78CDE9F52B}"/>
    <hyperlink ref="B189" r:id="rId21" display="https://www.nebraska-demographics.com/york-county-demographics" xr:uid="{07EBF1C4-3F89-F048-B655-AB238E183E09}"/>
    <hyperlink ref="B103" r:id="rId22" display="https://www.nebraska-demographics.com/box-butte-county-demographics" xr:uid="{FAEA3E72-B176-FB46-BDEE-B4B47FD01F1C}"/>
    <hyperlink ref="B117" r:id="rId23" display="https://www.nebraska-demographics.com/custer-county-demographics" xr:uid="{DE1FD04E-2C21-F444-B8BE-C71F2664C7AD}"/>
    <hyperlink ref="B169" r:id="rId24" display="https://www.nebraska-demographics.com/red-willow-county-demographics" xr:uid="{1F2EFD5E-5A57-0A49-87CE-5D3B2B392177}"/>
    <hyperlink ref="B115" r:id="rId25" display="https://www.nebraska-demographics.com/colfax-county-demographics" xr:uid="{440970DB-3444-6F45-8A96-8DC51725104D}"/>
    <hyperlink ref="B141" r:id="rId26" display="https://www.nebraska-demographics.com/holt-county-demographics" xr:uid="{B2397511-F65A-4540-84A9-8A875FE04893}"/>
    <hyperlink ref="B113" r:id="rId27" display="https://www.nebraska-demographics.com/cheyenne-county-demographics" xr:uid="{798745EA-5EC9-034D-8A25-40F14D0B87CF}"/>
    <hyperlink ref="B186" r:id="rId28" display="https://www.nebraska-demographics.com/wayne-county-demographics" xr:uid="{43BC946D-CE89-8741-807B-9F5D47FEC5FF}"/>
    <hyperlink ref="B137" r:id="rId29" display="https://www.nebraska-demographics.com/hamilton-county-demographics" xr:uid="{6EBE7B12-5508-634C-850E-430FEF6F40ED}"/>
    <hyperlink ref="B165" r:id="rId30" display="https://www.nebraska-demographics.com/phelps-county-demographics" xr:uid="{6AE18446-4AAD-CD4B-8EC1-2079A6C0640E}"/>
    <hyperlink ref="B116" r:id="rId31" display="https://www.nebraska-demographics.com/cuming-county-demographics" xr:uid="{1C434928-36C1-6242-A10A-B99CF8BD28D2}"/>
    <hyperlink ref="B119" r:id="rId32" display="https://www.nebraska-demographics.com/dawes-county-demographics" xr:uid="{A20B1D79-7179-4942-A256-717FE17B07F3}"/>
    <hyperlink ref="B110" r:id="rId33" display="https://www.nebraska-demographics.com/cedar-county-demographics" xr:uid="{229F96C5-7542-7C40-9F74-9729E4739137}"/>
    <hyperlink ref="B150" r:id="rId34" display="https://www.nebraska-demographics.com/knox-county-demographics" xr:uid="{DA1C2DA4-5BDF-524D-9BF3-52D1C4AB53F0}"/>
    <hyperlink ref="B147" r:id="rId35" display="https://www.nebraska-demographics.com/keith-county-demographics" xr:uid="{6A34F7DD-6546-AD41-9577-4FBF5FB0C973}"/>
    <hyperlink ref="B108" r:id="rId36" display="https://www.nebraska-demographics.com/butler-county-demographics" xr:uid="{6230B1F4-8985-2946-96B7-1EA5F27C7BA0}"/>
    <hyperlink ref="B170" r:id="rId37" display="https://www.nebraska-demographics.com/richardson-county-demographics" xr:uid="{541C4458-BB86-CB4F-8C59-9ECDA5C7B7B0}"/>
    <hyperlink ref="B157" r:id="rId38" display="https://www.nebraska-demographics.com/merrick-county-demographics" xr:uid="{F2D0C2B3-D59C-EE40-B4E1-3DE3F2B89819}"/>
    <hyperlink ref="B183" r:id="rId39" display="https://www.nebraska-demographics.com/thurston-county-demographics" xr:uid="{A0DA4DED-28F3-6B48-A5E2-C8CF99D4614E}"/>
    <hyperlink ref="B166" r:id="rId40" display="https://www.nebraska-demographics.com/pierce-county-demographics" xr:uid="{339DF556-9BEF-464A-9ACD-0B5F9E6D7F06}"/>
    <hyperlink ref="B144" r:id="rId41" display="https://www.nebraska-demographics.com/jefferson-county-demographics" xr:uid="{812A2438-B23F-8F43-B0C7-377724B1C445}"/>
    <hyperlink ref="B160" r:id="rId42" display="https://www.nebraska-demographics.com/nemaha-county-demographics" xr:uid="{FF2F8EC9-F5C9-7A4D-8903-3ED878818348}"/>
    <hyperlink ref="B146" r:id="rId43" display="https://www.nebraska-demographics.com/kearney-county-demographics" xr:uid="{FFCE443D-9ED8-CD46-A1CA-37AA0BA2EA1F}"/>
    <hyperlink ref="B107" r:id="rId44" display="https://www.nebraska-demographics.com/burt-county-demographics" xr:uid="{A4BF1685-321C-6C46-A20A-FC653464C053}"/>
    <hyperlink ref="B143" r:id="rId45" display="https://www.nebraska-demographics.com/howard-county-demographics" xr:uid="{8CA31FEC-E26A-3E46-891D-4CA252B4A821}"/>
    <hyperlink ref="B98" r:id="rId46" display="https://www.nebraska-demographics.com/antelope-county-demographics" xr:uid="{01C14FE2-6A7D-3942-995B-67CB7DD90D9D}"/>
    <hyperlink ref="B114" r:id="rId47" display="https://www.nebraska-demographics.com/clay-county-demographics" xr:uid="{BD0D2502-990D-E643-ACA2-356ECDF4776C}"/>
    <hyperlink ref="B180" r:id="rId48" display="https://www.nebraska-demographics.com/stanton-county-demographics" xr:uid="{3C162074-527D-9A4F-8594-297E7D124A84}"/>
    <hyperlink ref="B112" r:id="rId49" display="https://www.nebraska-demographics.com/cherry-county-demographics" xr:uid="{781FE4AE-1E6A-FD46-983D-2ED9436B91E9}"/>
    <hyperlink ref="B122" r:id="rId50" display="https://www.nebraska-demographics.com/dixon-county-demographics" xr:uid="{7F643371-47E0-1345-9B38-265A3DAEB41B}"/>
    <hyperlink ref="B126" r:id="rId51" display="https://www.nebraska-demographics.com/fillmore-county-demographics" xr:uid="{AC3F8B56-3CAC-4042-B9B2-DF99321250E8}"/>
    <hyperlink ref="B102" r:id="rId52" display="https://www.nebraska-demographics.com/boone-county-demographics" xr:uid="{20EA1DC8-281C-4C46-ACA2-581DD736A90E}"/>
    <hyperlink ref="B177" r:id="rId53" display="https://www.nebraska-demographics.com/sheridan-county-demographics" xr:uid="{D3FFA03B-F957-FC41-B867-B88CA05DFEE4}"/>
    <hyperlink ref="B168" r:id="rId54" display="https://www.nebraska-demographics.com/polk-county-demographics" xr:uid="{EE807CE8-5580-9043-B6FC-13A3576C9125}"/>
    <hyperlink ref="B145" r:id="rId55" display="https://www.nebraska-demographics.com/johnson-county-demographics" xr:uid="{685895F0-6C45-8C44-AAF2-E52480D5E042}"/>
    <hyperlink ref="B181" r:id="rId56" display="https://www.nebraska-demographics.com/thayer-county-demographics" xr:uid="{B9CA7B2E-FB4A-4E45-ADFD-18C42F04CE79}"/>
    <hyperlink ref="B129" r:id="rId57" display="https://www.nebraska-demographics.com/furnas-county-demographics" xr:uid="{31347828-0C15-FD45-8178-71DBF2A4BB6A}"/>
    <hyperlink ref="B158" r:id="rId58" display="https://www.nebraska-demographics.com/morrill-county-demographics" xr:uid="{9EF22400-297D-5E46-891F-60923B07B397}"/>
    <hyperlink ref="B161" r:id="rId59" display="https://www.nebraska-demographics.com/nuckolls-county-demographics" xr:uid="{323F5193-2097-3740-BF1C-D4B75A9AC9B4}"/>
    <hyperlink ref="B184" r:id="rId60" display="https://www.nebraska-demographics.com/valley-county-demographics" xr:uid="{C64E5DE6-3987-B74F-92B0-AFAD29585E01}"/>
    <hyperlink ref="B111" r:id="rId61" display="https://www.nebraska-demographics.com/chase-county-demographics" xr:uid="{D9942BE4-ED06-3C4C-BCFA-19295B76C7B8}"/>
    <hyperlink ref="B149" r:id="rId62" display="https://www.nebraska-demographics.com/kimball-county-demographics" xr:uid="{4B564436-126A-8D4E-A33D-1F4DB92BA0BA}"/>
    <hyperlink ref="B159" r:id="rId63" display="https://www.nebraska-demographics.com/nance-county-demographics" xr:uid="{35496C09-16AD-AD42-BCE5-77F75A96E20E}"/>
    <hyperlink ref="B187" r:id="rId64" display="https://www.nebraska-demographics.com/webster-county-demographics" xr:uid="{BC6F47A6-6746-1B4B-8EED-59ECB4D2A9C0}"/>
    <hyperlink ref="B138" r:id="rId65" display="https://www.nebraska-demographics.com/harlan-county-demographics" xr:uid="{0EA931C6-F097-EC45-A1C7-A18A194ACBAC}"/>
    <hyperlink ref="B178" r:id="rId66" display="https://www.nebraska-demographics.com/sherman-county-demographics" xr:uid="{0153124C-9A0A-3043-A0C5-9B87F26CB0EC}"/>
    <hyperlink ref="B127" r:id="rId67" display="https://www.nebraska-demographics.com/franklin-county-demographics" xr:uid="{1009F8BA-5FDA-2B41-A2FF-0543E98AEFC8}"/>
    <hyperlink ref="B164" r:id="rId68" display="https://www.nebraska-demographics.com/perkins-county-demographics" xr:uid="{21562D2E-148C-644C-8300-042884239014}"/>
    <hyperlink ref="B105" r:id="rId69" display="https://www.nebraska-demographics.com/brown-county-demographics" xr:uid="{24CBA3E1-40D8-9D45-92E5-B9F062741C1A}"/>
    <hyperlink ref="B140" r:id="rId70" display="https://www.nebraska-demographics.com/hitchcock-county-demographics" xr:uid="{D854057D-776B-1B43-A2B1-95A845AF063F}"/>
    <hyperlink ref="B163" r:id="rId71" display="https://www.nebraska-demographics.com/pawnee-county-demographics" xr:uid="{4C3150F8-1C2B-914E-84C8-16CE5A7128DD}"/>
    <hyperlink ref="B128" r:id="rId72" display="https://www.nebraska-demographics.com/frontier-county-demographics" xr:uid="{150C4623-BDE7-8746-94BD-C803FBBF65F8}"/>
    <hyperlink ref="B135" r:id="rId73" display="https://www.nebraska-demographics.com/greeley-county-demographics" xr:uid="{17A83674-C3E0-E04D-B45A-B994C92597F3}"/>
    <hyperlink ref="B132" r:id="rId74" display="https://www.nebraska-demographics.com/garfield-county-demographics" xr:uid="{5121E39C-5477-7C40-9DB8-5BB77C69AD40}"/>
    <hyperlink ref="B133" r:id="rId75" display="https://www.nebraska-demographics.com/gosper-county-demographics" xr:uid="{7E006902-E56A-3543-AC21-40FE3F4C3E9E}"/>
    <hyperlink ref="B125" r:id="rId76" display="https://www.nebraska-demographics.com/dundy-county-demographics" xr:uid="{61B71525-B7E4-C44B-BC4D-A98B874390D1}"/>
    <hyperlink ref="B131" r:id="rId77" display="https://www.nebraska-demographics.com/garden-county-demographics" xr:uid="{2FD24531-EE21-9D41-BC40-5DB9D5470E4C}"/>
    <hyperlink ref="B104" r:id="rId78" display="https://www.nebraska-demographics.com/boyd-county-demographics" xr:uid="{834241DA-48E6-DF4C-9B61-FA12F20A59EE}"/>
    <hyperlink ref="B121" r:id="rId79" display="https://www.nebraska-demographics.com/deuel-county-demographics" xr:uid="{F7EAD518-F757-7246-9CD3-55ECC6B59B72}"/>
    <hyperlink ref="B171" r:id="rId80" display="https://www.nebraska-demographics.com/rock-county-demographics" xr:uid="{E0043769-9768-BF4F-BE4D-BD8FAC9C2FC9}"/>
    <hyperlink ref="B179" r:id="rId81" display="https://www.nebraska-demographics.com/sioux-county-demographics" xr:uid="{072D5AB1-4AE1-CC47-90EB-3C194F0FA438}"/>
    <hyperlink ref="B153" r:id="rId82" display="https://www.nebraska-demographics.com/logan-county-demographics" xr:uid="{E166C2FD-FEA4-584A-A2C3-41A7792ED8A0}"/>
    <hyperlink ref="B139" r:id="rId83" display="https://www.nebraska-demographics.com/hayes-county-demographics" xr:uid="{A51F8A3E-FD0A-A04D-AF45-8DD6F455F8B2}"/>
    <hyperlink ref="B148" r:id="rId84" display="https://www.nebraska-demographics.com/keya-paha-county-demographics" xr:uid="{912B364F-4815-6E45-8315-3DFE6C8ADCA7}"/>
    <hyperlink ref="B142" r:id="rId85" display="https://www.nebraska-demographics.com/hooker-county-demographics" xr:uid="{D649B69F-1E0F-FB4E-9DC3-58AE83B772EB}"/>
    <hyperlink ref="B134" r:id="rId86" display="https://www.nebraska-demographics.com/grant-county-demographics" xr:uid="{A0E7C1EF-FC42-1847-B3CB-6C30DF882A52}"/>
    <hyperlink ref="B154" r:id="rId87" display="https://www.nebraska-demographics.com/loup-county-demographics" xr:uid="{A1AAE740-0634-554E-86D8-D1B952F2C639}"/>
    <hyperlink ref="B188" r:id="rId88" display="https://www.nebraska-demographics.com/wheeler-county-demographics" xr:uid="{8DE971AF-E581-AE48-AA6E-70F43A44D6EB}"/>
    <hyperlink ref="B100" r:id="rId89" display="https://www.nebraska-demographics.com/banner-county-demographics" xr:uid="{2A01E347-C380-A445-82B5-F72E7EA61281}"/>
    <hyperlink ref="B182" r:id="rId90" display="https://www.nebraska-demographics.com/thomas-county-demographics" xr:uid="{0D58E250-DE53-764B-9002-8EE8161C98C4}"/>
    <hyperlink ref="B101" r:id="rId91" display="https://www.nebraska-demographics.com/blaine-county-demographics" xr:uid="{2C16D7EA-7DEB-4F46-A9DA-5C4757F201B4}"/>
    <hyperlink ref="B99" r:id="rId92" display="https://www.nebraska-demographics.com/arthur-county-demographics" xr:uid="{04981A10-8358-E94D-9E71-724A82ADA656}"/>
    <hyperlink ref="B156" r:id="rId93" display="https://www.nebraska-demographics.com/mcpherson-county-demographics" xr:uid="{F6B4605D-FC4E-4142-8AD7-41D18329C43D}"/>
  </hyperlinks>
  <pageMargins left="0.7" right="0.7" top="0.75" bottom="0.75" header="0.3" footer="0.3"/>
  <tableParts count="3">
    <tablePart r:id="rId94"/>
    <tablePart r:id="rId95"/>
    <tablePart r:id="rId9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277F-9311-DD42-B1FE-B881DEA2FAF1}">
  <dimension ref="A1:Q37"/>
  <sheetViews>
    <sheetView workbookViewId="0">
      <selection activeCell="P2" sqref="P2:P4"/>
    </sheetView>
  </sheetViews>
  <sheetFormatPr baseColWidth="10" defaultRowHeight="13"/>
  <cols>
    <col min="1" max="1" width="14.1640625" customWidth="1"/>
    <col min="2" max="2" width="16.1640625" customWidth="1"/>
    <col min="3" max="3" width="17.33203125" customWidth="1"/>
    <col min="6" max="6" width="12.1640625" customWidth="1"/>
    <col min="7" max="7" width="17.33203125" customWidth="1"/>
    <col min="8" max="8" width="17.33203125" style="1" customWidth="1"/>
    <col min="9" max="9" width="14.5" customWidth="1"/>
    <col min="10" max="10" width="18.33203125" customWidth="1"/>
    <col min="11" max="11" width="18.33203125" style="1" customWidth="1"/>
    <col min="12" max="12" width="15.5" customWidth="1"/>
  </cols>
  <sheetData>
    <row r="1" spans="1:17" ht="21">
      <c r="A1" s="95" t="s">
        <v>64</v>
      </c>
      <c r="B1" s="95" t="s">
        <v>1674</v>
      </c>
      <c r="C1" s="95" t="s">
        <v>2285</v>
      </c>
      <c r="D1" s="95" t="s">
        <v>1677</v>
      </c>
      <c r="F1" s="15" t="s">
        <v>165</v>
      </c>
      <c r="G1" s="15" t="s">
        <v>168</v>
      </c>
      <c r="H1" s="15" t="s">
        <v>1677</v>
      </c>
      <c r="I1" s="15" t="s">
        <v>169</v>
      </c>
      <c r="J1" s="15" t="s">
        <v>166</v>
      </c>
      <c r="K1" s="15" t="s">
        <v>1687</v>
      </c>
      <c r="L1" s="15" t="s">
        <v>167</v>
      </c>
      <c r="M1" s="15" t="s">
        <v>62</v>
      </c>
      <c r="P1" t="s">
        <v>267</v>
      </c>
      <c r="Q1" t="s">
        <v>328</v>
      </c>
    </row>
    <row r="2" spans="1:17" ht="20">
      <c r="A2" s="78" t="s">
        <v>2274</v>
      </c>
      <c r="B2" s="78" t="s">
        <v>297</v>
      </c>
      <c r="C2" s="78">
        <v>229</v>
      </c>
      <c r="D2" s="78">
        <f>Table18[[#This Row],[2014]]/C21</f>
        <v>4.1452465426109622E-3</v>
      </c>
      <c r="F2" s="16" t="s">
        <v>2274</v>
      </c>
      <c r="G2" s="17">
        <v>12735</v>
      </c>
      <c r="H2" s="80">
        <f>Table20[[#This Row],[BIDEN VOTES]]/C21</f>
        <v>0.23052277170371444</v>
      </c>
      <c r="I2" s="18">
        <v>0.42799999999999999</v>
      </c>
      <c r="J2" s="17">
        <v>16113</v>
      </c>
      <c r="K2" s="80">
        <f>Table20[[#This Row],[TRUMP VOTES]]/C21</f>
        <v>0.29166968358554773</v>
      </c>
      <c r="L2" s="18">
        <v>0.54200000000000004</v>
      </c>
      <c r="M2" s="82">
        <f>1-(Table20[[#This Row],[NbP]]+Table20[[#This Row],[NbP2]])</f>
        <v>0.47780754471073783</v>
      </c>
      <c r="O2" t="s">
        <v>1672</v>
      </c>
      <c r="P2">
        <f>CORREL(D:D,H:H)</f>
        <v>1.8326881251275823E-2</v>
      </c>
      <c r="Q2">
        <v>0.1</v>
      </c>
    </row>
    <row r="3" spans="1:17" ht="20">
      <c r="A3" s="78" t="s">
        <v>2275</v>
      </c>
      <c r="B3" s="78" t="s">
        <v>297</v>
      </c>
      <c r="C3" s="78">
        <v>106</v>
      </c>
      <c r="D3" s="78">
        <f>Table18[[#This Row],[2014]]/C22</f>
        <v>4.3078923839713892E-3</v>
      </c>
      <c r="F3" s="16" t="s">
        <v>2286</v>
      </c>
      <c r="G3" s="17">
        <v>3051</v>
      </c>
      <c r="H3" s="80">
        <f>Table20[[#This Row],[BIDEN VOTES]]/C22</f>
        <v>0.12399414776883687</v>
      </c>
      <c r="I3" s="18">
        <v>0.23699999999999999</v>
      </c>
      <c r="J3" s="17">
        <v>9372</v>
      </c>
      <c r="K3" s="80">
        <f>Table20[[#This Row],[TRUMP VOTES]]/C22</f>
        <v>0.38088271153377223</v>
      </c>
      <c r="L3" s="18">
        <v>0.72699999999999998</v>
      </c>
      <c r="M3" s="82">
        <f>1-(Table20[[#This Row],[NbP]]+Table20[[#This Row],[NbP2]])</f>
        <v>0.49512314069739094</v>
      </c>
      <c r="O3" t="s">
        <v>1671</v>
      </c>
      <c r="P3">
        <f>CORREL(D:D,K:K)</f>
        <v>-0.4505864721805784</v>
      </c>
      <c r="Q3" s="1">
        <v>0.1</v>
      </c>
    </row>
    <row r="4" spans="1:17" ht="20">
      <c r="A4" s="78" t="s">
        <v>1418</v>
      </c>
      <c r="B4" s="78" t="s">
        <v>297</v>
      </c>
      <c r="C4" s="94">
        <v>10476</v>
      </c>
      <c r="D4" s="78">
        <f>Table18[[#This Row],[2014]]/C23</f>
        <v>4.7001479676212028E-3</v>
      </c>
      <c r="F4" s="16" t="s">
        <v>1404</v>
      </c>
      <c r="G4" s="17">
        <v>521852</v>
      </c>
      <c r="H4" s="80">
        <f>Table20[[#This Row],[BIDEN VOTES]]/C23</f>
        <v>0.23413341134011645</v>
      </c>
      <c r="I4" s="18">
        <v>0.53700000000000003</v>
      </c>
      <c r="J4" s="17">
        <v>430930</v>
      </c>
      <c r="K4" s="80">
        <f>Table20[[#This Row],[TRUMP VOTES]]/C23</f>
        <v>0.19334046999685042</v>
      </c>
      <c r="L4" s="18">
        <v>0.443</v>
      </c>
      <c r="M4" s="82">
        <f>1-(Table20[[#This Row],[NbP]]+Table20[[#This Row],[NbP2]])</f>
        <v>0.57252611866303316</v>
      </c>
      <c r="O4" t="s">
        <v>1679</v>
      </c>
      <c r="P4">
        <f>CORREL(D:D,M:M)</f>
        <v>0.38625443495354711</v>
      </c>
      <c r="Q4" s="1">
        <v>0.1</v>
      </c>
    </row>
    <row r="5" spans="1:17" ht="20">
      <c r="A5" s="78" t="s">
        <v>315</v>
      </c>
      <c r="B5" s="78" t="s">
        <v>297</v>
      </c>
      <c r="C5" s="78">
        <v>73</v>
      </c>
      <c r="D5" s="78">
        <f>Table18[[#This Row],[2014]]/C24</f>
        <v>1.5055892422554964E-3</v>
      </c>
      <c r="F5" s="16" t="s">
        <v>276</v>
      </c>
      <c r="G5" s="17">
        <v>11571</v>
      </c>
      <c r="H5" s="80">
        <f>Table20[[#This Row],[BIDEN VOTES]]/C24</f>
        <v>0.23864620715258011</v>
      </c>
      <c r="I5" s="18">
        <v>0.33900000000000002</v>
      </c>
      <c r="J5" s="17">
        <v>21630</v>
      </c>
      <c r="K5" s="80">
        <f>Table20[[#This Row],[TRUMP VOTES]]/C24</f>
        <v>0.44610815493132039</v>
      </c>
      <c r="L5" s="18">
        <v>0.63400000000000001</v>
      </c>
      <c r="M5" s="82">
        <f>1-(Table20[[#This Row],[NbP]]+Table20[[#This Row],[NbP2]])</f>
        <v>0.3152456379160995</v>
      </c>
    </row>
    <row r="6" spans="1:17" ht="20">
      <c r="A6" s="78" t="s">
        <v>2276</v>
      </c>
      <c r="B6" s="78" t="s">
        <v>297</v>
      </c>
      <c r="C6" s="78">
        <v>239</v>
      </c>
      <c r="D6" s="78">
        <f>Table18[[#This Row],[2014]]/C25</f>
        <v>4.5491748672364237E-3</v>
      </c>
      <c r="F6" s="16" t="s">
        <v>2287</v>
      </c>
      <c r="G6" s="17">
        <v>4557</v>
      </c>
      <c r="H6" s="80">
        <f>Table20[[#This Row],[BIDEN VOTES]]/C25</f>
        <v>8.6738869748938838E-2</v>
      </c>
      <c r="I6" s="18">
        <v>0.20699999999999999</v>
      </c>
      <c r="J6" s="17">
        <v>16741</v>
      </c>
      <c r="K6" s="80">
        <f>Table20[[#This Row],[TRUMP VOTES]]/C25</f>
        <v>0.31865161695566935</v>
      </c>
      <c r="L6" s="18">
        <v>0.76200000000000001</v>
      </c>
      <c r="M6" s="82">
        <f>1-(Table20[[#This Row],[NbP]]+Table20[[#This Row],[NbP2]])</f>
        <v>0.5946095132953918</v>
      </c>
    </row>
    <row r="7" spans="1:17" ht="20">
      <c r="A7" s="78" t="s">
        <v>2277</v>
      </c>
      <c r="B7" s="78" t="s">
        <v>297</v>
      </c>
      <c r="C7" s="78">
        <v>2</v>
      </c>
      <c r="D7" s="78">
        <f>Table18[[#This Row],[2014]]/C26</f>
        <v>1.9417475728155339E-3</v>
      </c>
      <c r="F7" s="16" t="s">
        <v>2288</v>
      </c>
      <c r="G7" s="19">
        <v>74</v>
      </c>
      <c r="H7" s="80">
        <f>Table20[[#This Row],[BIDEN VOTES]]/C26</f>
        <v>7.184466019417475E-2</v>
      </c>
      <c r="I7" s="18">
        <v>0.152</v>
      </c>
      <c r="J7" s="19">
        <v>400</v>
      </c>
      <c r="K7" s="80">
        <f>Table20[[#This Row],[TRUMP VOTES]]/C26</f>
        <v>0.38834951456310679</v>
      </c>
      <c r="L7" s="18">
        <v>0.82099999999999995</v>
      </c>
      <c r="M7" s="82">
        <f>1-(Table20[[#This Row],[NbP]]+Table20[[#This Row],[NbP2]])</f>
        <v>0.53980582524271847</v>
      </c>
    </row>
    <row r="8" spans="1:17" ht="20">
      <c r="A8" s="78" t="s">
        <v>2278</v>
      </c>
      <c r="B8" s="78" t="s">
        <v>297</v>
      </c>
      <c r="C8" s="78">
        <v>5</v>
      </c>
      <c r="D8" s="78">
        <f>Table18[[#This Row],[2014]]/C27</f>
        <v>2.7188689505165853E-3</v>
      </c>
      <c r="F8" s="16" t="s">
        <v>2289</v>
      </c>
      <c r="G8" s="19">
        <v>105</v>
      </c>
      <c r="H8" s="80">
        <f>Table20[[#This Row],[BIDEN VOTES]]/C27</f>
        <v>5.7096247960848286E-2</v>
      </c>
      <c r="I8" s="18">
        <v>0.10299999999999999</v>
      </c>
      <c r="J8" s="19">
        <v>895</v>
      </c>
      <c r="K8" s="80">
        <f>Table20[[#This Row],[TRUMP VOTES]]/C27</f>
        <v>0.48667754214246872</v>
      </c>
      <c r="L8" s="18">
        <v>0.88</v>
      </c>
      <c r="M8" s="82">
        <f>1-(Table20[[#This Row],[NbP]]+Table20[[#This Row],[NbP2]])</f>
        <v>0.45622620989668294</v>
      </c>
    </row>
    <row r="9" spans="1:17" ht="20">
      <c r="A9" s="78" t="s">
        <v>1052</v>
      </c>
      <c r="B9" s="78" t="s">
        <v>297</v>
      </c>
      <c r="C9" s="78">
        <v>49</v>
      </c>
      <c r="D9" s="78">
        <f>Table18[[#This Row],[2014]]/C28</f>
        <v>2.9107758108589759E-3</v>
      </c>
      <c r="F9" s="16" t="s">
        <v>998</v>
      </c>
      <c r="G9" s="17">
        <v>1689</v>
      </c>
      <c r="H9" s="80">
        <f>Table20[[#This Row],[BIDEN VOTES]]/C28</f>
        <v>0.1003326600926696</v>
      </c>
      <c r="I9" s="18">
        <v>0.217</v>
      </c>
      <c r="J9" s="17">
        <v>5877</v>
      </c>
      <c r="K9" s="80">
        <f>Table20[[#This Row],[TRUMP VOTES]]/C28</f>
        <v>0.34911488653914696</v>
      </c>
      <c r="L9" s="18">
        <v>0.75600000000000001</v>
      </c>
      <c r="M9" s="82">
        <f>1-(Table20[[#This Row],[NbP]]+Table20[[#This Row],[NbP2]])</f>
        <v>0.55055245336818337</v>
      </c>
    </row>
    <row r="10" spans="1:17" ht="20">
      <c r="A10" s="78" t="s">
        <v>2279</v>
      </c>
      <c r="B10" s="78" t="s">
        <v>297</v>
      </c>
      <c r="C10" s="78">
        <v>25</v>
      </c>
      <c r="D10" s="78">
        <f>Table18[[#This Row],[2014]]/C29</f>
        <v>4.4923629829290209E-3</v>
      </c>
      <c r="F10" s="16" t="s">
        <v>2290</v>
      </c>
      <c r="G10" s="19">
        <v>496</v>
      </c>
      <c r="H10" s="80">
        <f>Table20[[#This Row],[BIDEN VOTES]]/C29</f>
        <v>8.9128481581311772E-2</v>
      </c>
      <c r="I10" s="18">
        <v>0.17899999999999999</v>
      </c>
      <c r="J10" s="17">
        <v>2198</v>
      </c>
      <c r="K10" s="80">
        <f>Table20[[#This Row],[TRUMP VOTES]]/C29</f>
        <v>0.39496855345911952</v>
      </c>
      <c r="L10" s="18">
        <v>0.79500000000000004</v>
      </c>
      <c r="M10" s="82">
        <f>1-(Table20[[#This Row],[NbP]]+Table20[[#This Row],[NbP2]])</f>
        <v>0.51590296495956878</v>
      </c>
    </row>
    <row r="11" spans="1:17" ht="20">
      <c r="A11" s="78" t="s">
        <v>122</v>
      </c>
      <c r="B11" s="78" t="s">
        <v>297</v>
      </c>
      <c r="C11" s="78">
        <v>10</v>
      </c>
      <c r="D11" s="78">
        <f>Table18[[#This Row],[2014]]/C30</f>
        <v>1.9316206297083252E-3</v>
      </c>
      <c r="F11" s="16" t="s">
        <v>221</v>
      </c>
      <c r="G11" s="19">
        <v>330</v>
      </c>
      <c r="H11" s="80">
        <f>Table20[[#This Row],[BIDEN VOTES]]/C30</f>
        <v>6.3743480780374728E-2</v>
      </c>
      <c r="I11" s="18">
        <v>0.13500000000000001</v>
      </c>
      <c r="J11" s="17">
        <v>2067</v>
      </c>
      <c r="K11" s="80">
        <f>Table20[[#This Row],[TRUMP VOTES]]/C30</f>
        <v>0.39926598416071085</v>
      </c>
      <c r="L11" s="18">
        <v>0.84499999999999997</v>
      </c>
      <c r="M11" s="82">
        <f>1-(Table20[[#This Row],[NbP]]+Table20[[#This Row],[NbP2]])</f>
        <v>0.53699053505891436</v>
      </c>
    </row>
    <row r="12" spans="1:17" ht="20">
      <c r="A12" s="78" t="s">
        <v>1511</v>
      </c>
      <c r="B12" s="78" t="s">
        <v>297</v>
      </c>
      <c r="C12" s="78">
        <v>127</v>
      </c>
      <c r="D12" s="78">
        <f>Table18[[#This Row],[2014]]/C31</f>
        <v>2.2814234645301525E-3</v>
      </c>
      <c r="F12" s="16" t="s">
        <v>1554</v>
      </c>
      <c r="G12" s="17">
        <v>8473</v>
      </c>
      <c r="H12" s="80">
        <f>Table20[[#This Row],[BIDEN VOTES]]/C31</f>
        <v>0.15220866940916522</v>
      </c>
      <c r="I12" s="18">
        <v>0.28000000000000003</v>
      </c>
      <c r="J12" s="17">
        <v>20914</v>
      </c>
      <c r="K12" s="80">
        <f>Table20[[#This Row],[TRUMP VOTES]]/C31</f>
        <v>0.37569834911168198</v>
      </c>
      <c r="L12" s="18">
        <v>0.69199999999999995</v>
      </c>
      <c r="M12" s="82">
        <f>1-(Table20[[#This Row],[NbP]]+Table20[[#This Row],[NbP2]])</f>
        <v>0.4720929814791528</v>
      </c>
    </row>
    <row r="13" spans="1:17" ht="20">
      <c r="A13" s="78" t="s">
        <v>871</v>
      </c>
      <c r="B13" s="78" t="s">
        <v>297</v>
      </c>
      <c r="C13" s="78">
        <v>14</v>
      </c>
      <c r="D13" s="78">
        <f>Table18[[#This Row],[2014]]/C32</f>
        <v>3.1201248049921998E-3</v>
      </c>
      <c r="F13" s="16" t="s">
        <v>839</v>
      </c>
      <c r="G13" s="19">
        <v>829</v>
      </c>
      <c r="H13" s="80">
        <f>Table20[[#This Row],[BIDEN VOTES]]/C32</f>
        <v>0.18475596166703812</v>
      </c>
      <c r="I13" s="18">
        <v>0.35499999999999998</v>
      </c>
      <c r="J13" s="17">
        <v>1423</v>
      </c>
      <c r="K13" s="80">
        <f>Table20[[#This Row],[TRUMP VOTES]]/C32</f>
        <v>0.31713839982170716</v>
      </c>
      <c r="L13" s="18">
        <v>0.60899999999999999</v>
      </c>
      <c r="M13" s="82">
        <f>1-(Table20[[#This Row],[NbP]]+Table20[[#This Row],[NbP2]])</f>
        <v>0.49810563851125478</v>
      </c>
    </row>
    <row r="14" spans="1:17" ht="20">
      <c r="A14" s="78" t="s">
        <v>2280</v>
      </c>
      <c r="B14" s="78" t="s">
        <v>297</v>
      </c>
      <c r="C14" s="78">
        <v>115</v>
      </c>
      <c r="D14" s="78">
        <f>Table18[[#This Row],[2014]]/C33</f>
        <v>2.5266950828316563E-3</v>
      </c>
      <c r="F14" s="16" t="s">
        <v>2291</v>
      </c>
      <c r="G14" s="17">
        <v>7288</v>
      </c>
      <c r="H14" s="80">
        <f>Table20[[#This Row],[BIDEN VOTES]]/C33</f>
        <v>0.16012655446675747</v>
      </c>
      <c r="I14" s="18">
        <v>0.28699999999999998</v>
      </c>
      <c r="J14" s="17">
        <v>17528</v>
      </c>
      <c r="K14" s="80">
        <f>Table20[[#This Row],[TRUMP VOTES]]/C33</f>
        <v>0.38511227314672408</v>
      </c>
      <c r="L14" s="18">
        <v>0.69099999999999995</v>
      </c>
      <c r="M14" s="82">
        <f>1-(Table20[[#This Row],[NbP]]+Table20[[#This Row],[NbP2]])</f>
        <v>0.45476117238651848</v>
      </c>
    </row>
    <row r="15" spans="1:17" ht="20">
      <c r="A15" s="78" t="s">
        <v>2281</v>
      </c>
      <c r="B15" s="78" t="s">
        <v>297</v>
      </c>
      <c r="C15" s="78">
        <v>16</v>
      </c>
      <c r="D15" s="78">
        <f>Table18[[#This Row],[2014]]/C34</f>
        <v>2.4275527234107115E-3</v>
      </c>
      <c r="F15" s="16" t="s">
        <v>2292</v>
      </c>
      <c r="G15" s="19">
        <v>547</v>
      </c>
      <c r="H15" s="80">
        <f>Table20[[#This Row],[BIDEN VOTES]]/C34</f>
        <v>8.2991958731603699E-2</v>
      </c>
      <c r="I15" s="18">
        <v>0.23599999999999999</v>
      </c>
      <c r="J15" s="17">
        <v>1731</v>
      </c>
      <c r="K15" s="80">
        <f>Table20[[#This Row],[TRUMP VOTES]]/C34</f>
        <v>0.26263086026399635</v>
      </c>
      <c r="L15" s="18">
        <v>0.746</v>
      </c>
      <c r="M15" s="82">
        <f>1-(Table20[[#This Row],[NbP]]+Table20[[#This Row],[NbP2]])</f>
        <v>0.6543771810043999</v>
      </c>
    </row>
    <row r="16" spans="1:17" ht="20">
      <c r="A16" s="78" t="s">
        <v>2282</v>
      </c>
      <c r="B16" s="78" t="s">
        <v>297</v>
      </c>
      <c r="C16" s="78">
        <v>8</v>
      </c>
      <c r="D16" s="78">
        <f>Table18[[#This Row],[2014]]/C35</f>
        <v>1.9579050416054823E-3</v>
      </c>
      <c r="F16" s="16" t="s">
        <v>2293</v>
      </c>
      <c r="G16" s="19">
        <v>902</v>
      </c>
      <c r="H16" s="80">
        <f>Table20[[#This Row],[BIDEN VOTES]]/C35</f>
        <v>0.22075379344101811</v>
      </c>
      <c r="I16" s="18">
        <v>0.314</v>
      </c>
      <c r="J16" s="17">
        <v>1908</v>
      </c>
      <c r="K16" s="80">
        <f>Table20[[#This Row],[TRUMP VOTES]]/C35</f>
        <v>0.46696035242290751</v>
      </c>
      <c r="L16" s="18">
        <v>0.66300000000000003</v>
      </c>
      <c r="M16" s="82">
        <f>1-(Table20[[#This Row],[NbP]]+Table20[[#This Row],[NbP2]])</f>
        <v>0.31228585413607435</v>
      </c>
    </row>
    <row r="17" spans="1:13" ht="20">
      <c r="A17" s="78" t="s">
        <v>2283</v>
      </c>
      <c r="B17" s="78" t="s">
        <v>297</v>
      </c>
      <c r="C17" s="94">
        <v>2169</v>
      </c>
      <c r="D17" s="78">
        <f>Table18[[#This Row],[2014]]/C36</f>
        <v>4.6727361250543968E-3</v>
      </c>
      <c r="F17" s="16" t="s">
        <v>2294</v>
      </c>
      <c r="G17" s="17">
        <v>128128</v>
      </c>
      <c r="H17" s="80">
        <f>Table20[[#This Row],[BIDEN VOTES]]/C36</f>
        <v>0.276029660779608</v>
      </c>
      <c r="I17" s="18">
        <v>0.50800000000000001</v>
      </c>
      <c r="J17" s="17">
        <v>116760</v>
      </c>
      <c r="K17" s="80">
        <f>Table20[[#This Row],[TRUMP VOTES]]/C36</f>
        <v>0.25153926692547318</v>
      </c>
      <c r="L17" s="18">
        <v>0.46300000000000002</v>
      </c>
      <c r="M17" s="82">
        <f>1-(Table20[[#This Row],[NbP]]+Table20[[#This Row],[NbP2]])</f>
        <v>0.47243107229491876</v>
      </c>
    </row>
    <row r="18" spans="1:13" ht="20">
      <c r="A18" s="78" t="s">
        <v>2284</v>
      </c>
      <c r="B18" s="78" t="s">
        <v>297</v>
      </c>
      <c r="C18" s="78">
        <v>70</v>
      </c>
      <c r="D18" s="78">
        <f>Table18[[#This Row],[2014]]/C37</f>
        <v>7.3145245559038665E-3</v>
      </c>
      <c r="F18" s="16" t="s">
        <v>2295</v>
      </c>
      <c r="G18" s="19">
        <v>859</v>
      </c>
      <c r="H18" s="80">
        <f>Table20[[#This Row],[BIDEN VOTES]]/C37</f>
        <v>8.9759665621734583E-2</v>
      </c>
      <c r="I18" s="18">
        <v>0.19700000000000001</v>
      </c>
      <c r="J18" s="17">
        <v>3403</v>
      </c>
      <c r="K18" s="80">
        <f>Table20[[#This Row],[TRUMP VOTES]]/C37</f>
        <v>0.35559038662486936</v>
      </c>
      <c r="L18" s="18">
        <v>0.77900000000000003</v>
      </c>
      <c r="M18" s="82">
        <f>1-(Table20[[#This Row],[NbP]]+Table20[[#This Row],[NbP2]])</f>
        <v>0.55464994775339604</v>
      </c>
    </row>
    <row r="20" spans="1:13" ht="21">
      <c r="A20" s="77" t="s">
        <v>1670</v>
      </c>
      <c r="B20" s="77" t="s">
        <v>69</v>
      </c>
      <c r="C20" s="77" t="s">
        <v>54</v>
      </c>
    </row>
    <row r="21" spans="1:13" ht="21">
      <c r="A21" s="52">
        <v>4</v>
      </c>
      <c r="B21" s="53" t="s">
        <v>2296</v>
      </c>
      <c r="C21" s="54">
        <v>55244</v>
      </c>
    </row>
    <row r="22" spans="1:13" ht="21">
      <c r="A22" s="52">
        <v>8</v>
      </c>
      <c r="B22" s="53" t="s">
        <v>2286</v>
      </c>
      <c r="C22" s="54">
        <v>24606</v>
      </c>
    </row>
    <row r="23" spans="1:13" ht="21">
      <c r="A23" s="52">
        <v>1</v>
      </c>
      <c r="B23" s="53" t="s">
        <v>1404</v>
      </c>
      <c r="C23" s="54">
        <v>2228866</v>
      </c>
    </row>
    <row r="24" spans="1:13" ht="21">
      <c r="A24" s="52">
        <v>6</v>
      </c>
      <c r="B24" s="53" t="s">
        <v>276</v>
      </c>
      <c r="C24" s="54">
        <v>48486</v>
      </c>
    </row>
    <row r="25" spans="1:13" ht="21">
      <c r="A25" s="52">
        <v>5</v>
      </c>
      <c r="B25" s="53" t="s">
        <v>2287</v>
      </c>
      <c r="C25" s="54">
        <v>52537</v>
      </c>
    </row>
    <row r="26" spans="1:13" ht="21">
      <c r="A26" s="52">
        <v>17</v>
      </c>
      <c r="B26" s="53" t="s">
        <v>2288</v>
      </c>
      <c r="C26" s="54">
        <v>1030</v>
      </c>
    </row>
    <row r="27" spans="1:13" ht="21">
      <c r="A27" s="52">
        <v>16</v>
      </c>
      <c r="B27" s="53" t="s">
        <v>2289</v>
      </c>
      <c r="C27" s="54">
        <v>1839</v>
      </c>
    </row>
    <row r="28" spans="1:13" ht="21">
      <c r="A28" s="52">
        <v>9</v>
      </c>
      <c r="B28" s="53" t="s">
        <v>998</v>
      </c>
      <c r="C28" s="54">
        <v>16834</v>
      </c>
    </row>
    <row r="29" spans="1:13" ht="21">
      <c r="A29" s="52">
        <v>12</v>
      </c>
      <c r="B29" s="53" t="s">
        <v>2290</v>
      </c>
      <c r="C29" s="54">
        <v>5565</v>
      </c>
    </row>
    <row r="30" spans="1:13" ht="21">
      <c r="A30" s="52">
        <v>13</v>
      </c>
      <c r="B30" s="53" t="s">
        <v>221</v>
      </c>
      <c r="C30" s="54">
        <v>5177</v>
      </c>
    </row>
    <row r="31" spans="1:13" ht="21">
      <c r="A31" s="52">
        <v>3</v>
      </c>
      <c r="B31" s="53" t="s">
        <v>1554</v>
      </c>
      <c r="C31" s="54">
        <v>55667</v>
      </c>
    </row>
    <row r="32" spans="1:13" ht="21">
      <c r="A32" s="52">
        <v>14</v>
      </c>
      <c r="B32" s="53" t="s">
        <v>839</v>
      </c>
      <c r="C32" s="54">
        <v>4487</v>
      </c>
    </row>
    <row r="33" spans="1:3" ht="21">
      <c r="A33" s="52">
        <v>7</v>
      </c>
      <c r="B33" s="53" t="s">
        <v>2291</v>
      </c>
      <c r="C33" s="54">
        <v>45514</v>
      </c>
    </row>
    <row r="34" spans="1:3" ht="21">
      <c r="A34" s="52">
        <v>11</v>
      </c>
      <c r="B34" s="53" t="s">
        <v>2292</v>
      </c>
      <c r="C34" s="54">
        <v>6591</v>
      </c>
    </row>
    <row r="35" spans="1:3" ht="21">
      <c r="A35" s="52">
        <v>15</v>
      </c>
      <c r="B35" s="53" t="s">
        <v>2293</v>
      </c>
      <c r="C35" s="54">
        <v>4086</v>
      </c>
    </row>
    <row r="36" spans="1:3" ht="21">
      <c r="A36" s="52">
        <v>2</v>
      </c>
      <c r="B36" s="53" t="s">
        <v>2294</v>
      </c>
      <c r="C36" s="54">
        <v>464182</v>
      </c>
    </row>
    <row r="37" spans="1:3" ht="21">
      <c r="A37" s="52">
        <v>10</v>
      </c>
      <c r="B37" s="53" t="s">
        <v>2295</v>
      </c>
      <c r="C37" s="54">
        <v>9570</v>
      </c>
    </row>
  </sheetData>
  <hyperlinks>
    <hyperlink ref="B23" r:id="rId1" display="https://www.nevada-demographics.com/clark-county-demographics" xr:uid="{66C8D0C3-0C39-AB4F-81C2-0A8AC1481C86}"/>
    <hyperlink ref="B36" r:id="rId2" display="https://www.nevada-demographics.com/washoe-county-demographics" xr:uid="{C75E2A04-20BE-FA43-94CF-9F997EDAABAC}"/>
    <hyperlink ref="B31" r:id="rId3" display="https://www.nevada-demographics.com/lyon-county-demographics" xr:uid="{C72E70F8-5F6C-2E42-ADF5-A4D8CC3A4C2A}"/>
    <hyperlink ref="B21" r:id="rId4" display="https://www.nevada-demographics.com/carson-city-county-demographics" xr:uid="{B7DBB7BC-3A32-4943-962C-199A980E8B9A}"/>
    <hyperlink ref="B25" r:id="rId5" display="https://www.nevada-demographics.com/elko-county-demographics" xr:uid="{2F3C8DEF-AB22-DB4D-A6A7-6681755442B2}"/>
    <hyperlink ref="B24" r:id="rId6" display="https://www.nevada-demographics.com/douglas-county-demographics" xr:uid="{AABEA524-B00B-E64D-AC9F-78C431322F04}"/>
    <hyperlink ref="B33" r:id="rId7" display="https://www.nevada-demographics.com/nye-county-demographics" xr:uid="{0F254A4C-064B-4E40-BE4B-701F1506C982}"/>
    <hyperlink ref="B22" r:id="rId8" display="https://www.nevada-demographics.com/churchill-county-demographics" xr:uid="{A0FE8B65-C190-F641-A57D-F4877EB58081}"/>
    <hyperlink ref="B28" r:id="rId9" display="https://www.nevada-demographics.com/humboldt-county-demographics" xr:uid="{F95DA83A-8851-D24F-A89B-B6F7A417B2B2}"/>
    <hyperlink ref="B37" r:id="rId10" display="https://www.nevada-demographics.com/white-pine-county-demographics" xr:uid="{2C92C131-DE6F-FE4B-A1D6-A5D1E72824DD}"/>
    <hyperlink ref="B34" r:id="rId11" display="https://www.nevada-demographics.com/pershing-county-demographics" xr:uid="{36EC5B06-7105-854D-B286-94AC297B3606}"/>
    <hyperlink ref="B29" r:id="rId12" display="https://www.nevada-demographics.com/lander-county-demographics" xr:uid="{ACDC7E5D-248E-F74E-AAAC-A93E494A1CD4}"/>
    <hyperlink ref="B30" r:id="rId13" display="https://www.nevada-demographics.com/lincoln-county-demographics" xr:uid="{7CA2CF6B-36F9-364A-9559-FFA23EAF989E}"/>
    <hyperlink ref="B32" r:id="rId14" display="https://www.nevada-demographics.com/mineral-county-demographics" xr:uid="{8D588DB9-9933-254D-9FF6-75617605BFB2}"/>
    <hyperlink ref="B35" r:id="rId15" display="https://www.nevada-demographics.com/storey-county-demographics" xr:uid="{A8CBA221-FAEB-3249-8E54-A01A74EDC028}"/>
    <hyperlink ref="B27" r:id="rId16" display="https://www.nevada-demographics.com/eureka-county-demographics" xr:uid="{9583DFA8-C5CB-8E4B-8243-8C9141425A35}"/>
    <hyperlink ref="B26" r:id="rId17" display="https://www.nevada-demographics.com/esmeralda-county-demographics" xr:uid="{AD9B14FD-A967-4E4D-BB92-8DE53F463686}"/>
  </hyperlinks>
  <pageMargins left="0.7" right="0.7" top="0.75" bottom="0.75" header="0.3" footer="0.3"/>
  <tableParts count="3"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United States</vt:lpstr>
      <vt:lpstr>Maine</vt:lpstr>
      <vt:lpstr>Maryland</vt:lpstr>
      <vt:lpstr>Michigan</vt:lpstr>
      <vt:lpstr>Minnesota</vt:lpstr>
      <vt:lpstr>Mississippi</vt:lpstr>
      <vt:lpstr>Missouri</vt:lpstr>
      <vt:lpstr>Nebraska</vt:lpstr>
      <vt:lpstr>Nevada</vt:lpstr>
      <vt:lpstr>New Hampshire</vt:lpstr>
      <vt:lpstr>New Mexico</vt:lpstr>
      <vt:lpstr>New York</vt:lpstr>
      <vt:lpstr>North Carolina</vt:lpstr>
      <vt:lpstr>North Dakota</vt:lpstr>
      <vt:lpstr>Ohio</vt:lpstr>
      <vt:lpstr>Oklahoma</vt:lpstr>
      <vt:lpstr>Pennsylvania</vt:lpstr>
      <vt:lpstr>South Carolina</vt:lpstr>
      <vt:lpstr>Utah</vt:lpstr>
      <vt:lpstr>Virginia</vt:lpstr>
      <vt:lpstr>Wisconsin</vt:lpstr>
      <vt:lpstr>Alabama</vt:lpstr>
      <vt:lpstr>Arizona</vt:lpstr>
      <vt:lpstr>California</vt:lpstr>
      <vt:lpstr>Colorado</vt:lpstr>
      <vt:lpstr>Connecticut</vt:lpstr>
      <vt:lpstr>Georgia</vt:lpstr>
      <vt:lpstr>Indiana</vt:lpstr>
      <vt:lpstr>Iowa</vt:lpstr>
      <vt:lpstr>Kentucky</vt:lpstr>
      <vt:lpstr>Tennessee</vt:lpstr>
      <vt:lpstr>New Jersey</vt:lpstr>
      <vt:lpstr>Oregon</vt:lpstr>
      <vt:lpstr>Texas</vt:lpstr>
      <vt:lpstr>West Virginia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Chuck Sweet</cp:lastModifiedBy>
  <dcterms:created xsi:type="dcterms:W3CDTF">2022-05-25T18:05:32Z</dcterms:created>
  <dcterms:modified xsi:type="dcterms:W3CDTF">2022-06-04T21:07:21Z</dcterms:modified>
  <cp:category/>
  <cp:contentStatus/>
</cp:coreProperties>
</file>